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TATISTIQUES\Sales\Countries\2020\6 - Second semester 2019 and 2020\"/>
    </mc:Choice>
  </mc:AlternateContent>
  <xr:revisionPtr revIDLastSave="0" documentId="13_ncr:1_{B0D0487B-DF82-4360-AA03-D390DAE0FB70}" xr6:coauthVersionLast="46" xr6:coauthVersionMax="46" xr10:uidLastSave="{00000000-0000-0000-0000-000000000000}"/>
  <bookViews>
    <workbookView xWindow="-120" yWindow="-120" windowWidth="29040" windowHeight="15840" tabRatio="635" xr2:uid="{20F16CC2-91CF-4D8B-BF11-9D73FCE5AAF2}"/>
  </bookViews>
  <sheets>
    <sheet name="Sales Registrations" sheetId="66" r:id="rId1"/>
    <sheet name="Argentina" sheetId="35" r:id="rId2"/>
    <sheet name="Australia" sheetId="24" r:id="rId3"/>
    <sheet name="Austria" sheetId="42" r:id="rId4"/>
    <sheet name="Belgium" sheetId="39" r:id="rId5"/>
    <sheet name="Brazil" sheetId="36" r:id="rId6"/>
    <sheet name="Bulgaria" sheetId="62" r:id="rId7"/>
    <sheet name="China" sheetId="67" r:id="rId8"/>
    <sheet name="Croatia" sheetId="44" r:id="rId9"/>
    <sheet name="Finland" sheetId="45" r:id="rId10"/>
    <sheet name="France" sheetId="40" r:id="rId11"/>
    <sheet name="Germany" sheetId="57" r:id="rId12"/>
    <sheet name="India " sheetId="14" r:id="rId13"/>
    <sheet name="Indonesia" sheetId="46" r:id="rId14"/>
    <sheet name="Israel" sheetId="63" r:id="rId15"/>
    <sheet name="Italy" sheetId="64" r:id="rId16"/>
    <sheet name="Japan " sheetId="30" r:id="rId17"/>
    <sheet name="Kazakhstan" sheetId="47" r:id="rId18"/>
    <sheet name="Korea" sheetId="60" r:id="rId19"/>
    <sheet name="Netherlands" sheetId="48" r:id="rId20"/>
    <sheet name="Norway" sheetId="49" r:id="rId21"/>
    <sheet name="Portugal" sheetId="32" r:id="rId22"/>
    <sheet name="Romania" sheetId="28" r:id="rId23"/>
    <sheet name="Russia" sheetId="34" r:id="rId24"/>
    <sheet name="South Africa" sheetId="58" r:id="rId25"/>
    <sheet name="Spain" sheetId="51" r:id="rId26"/>
    <sheet name="Sweden" sheetId="59" r:id="rId27"/>
    <sheet name="Switzerland" sheetId="33" r:id="rId28"/>
    <sheet name="Thailand" sheetId="65" r:id="rId29"/>
    <sheet name="Turkey" sheetId="23" r:id="rId30"/>
    <sheet name="UK" sheetId="55" r:id="rId31"/>
    <sheet name="Ukraine" sheetId="54" r:id="rId32"/>
    <sheet name="USA" sheetId="38" r:id="rId3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9" i="63" l="1"/>
  <c r="AJ9" i="63"/>
  <c r="AK8" i="63"/>
  <c r="AJ8" i="63"/>
  <c r="AK7" i="63"/>
  <c r="AJ7" i="63"/>
  <c r="AK6" i="63"/>
  <c r="AJ6" i="63"/>
  <c r="AH9" i="63"/>
  <c r="AG9" i="63"/>
  <c r="AH8" i="63"/>
  <c r="AG8" i="63"/>
  <c r="AH7" i="63"/>
  <c r="AG7" i="63"/>
  <c r="AH6" i="63"/>
  <c r="AG6" i="63"/>
  <c r="AE9" i="63"/>
  <c r="AD9" i="63"/>
  <c r="AE8" i="63"/>
  <c r="AD8" i="63"/>
  <c r="AE7" i="63"/>
  <c r="AD7" i="63"/>
  <c r="AE6" i="63"/>
  <c r="AD6" i="63"/>
  <c r="AB9" i="63"/>
  <c r="AA9" i="63"/>
  <c r="AB8" i="63"/>
  <c r="AA8" i="63"/>
  <c r="AB7" i="63"/>
  <c r="AA7" i="63"/>
  <c r="AB6" i="63"/>
  <c r="AA6" i="63"/>
  <c r="Y9" i="63"/>
  <c r="X9" i="63"/>
  <c r="Y8" i="63"/>
  <c r="X8" i="63"/>
  <c r="Y7" i="63"/>
  <c r="X7" i="63"/>
  <c r="Y6" i="63"/>
  <c r="X6" i="63"/>
  <c r="V9" i="63"/>
  <c r="U9" i="63"/>
  <c r="V8" i="63"/>
  <c r="U8" i="63"/>
  <c r="V7" i="63"/>
  <c r="U7" i="63"/>
  <c r="V6" i="63"/>
  <c r="U6" i="63"/>
  <c r="S9" i="63"/>
  <c r="R9" i="63"/>
  <c r="S8" i="63"/>
  <c r="R8" i="63"/>
  <c r="S7" i="63"/>
  <c r="R7" i="63"/>
  <c r="S6" i="63"/>
  <c r="R6" i="63"/>
  <c r="P9" i="63"/>
  <c r="O9" i="63"/>
  <c r="P8" i="63"/>
  <c r="O8" i="63"/>
  <c r="P7" i="63"/>
  <c r="O7" i="63"/>
  <c r="P6" i="63"/>
  <c r="O6" i="63"/>
  <c r="M9" i="63"/>
  <c r="L9" i="63"/>
  <c r="M8" i="63"/>
  <c r="L8" i="63"/>
  <c r="M7" i="63"/>
  <c r="L7" i="63"/>
  <c r="M6" i="63"/>
  <c r="L6" i="63"/>
  <c r="J9" i="63"/>
  <c r="I9" i="63"/>
  <c r="J8" i="63"/>
  <c r="I8" i="63"/>
  <c r="J7" i="63"/>
  <c r="I7" i="63"/>
  <c r="J6" i="63"/>
  <c r="I6" i="63"/>
  <c r="G9" i="63"/>
  <c r="F9" i="63"/>
  <c r="G8" i="63"/>
  <c r="F8" i="63"/>
  <c r="G7" i="63"/>
  <c r="F7" i="63"/>
  <c r="G6" i="63"/>
  <c r="F6" i="63"/>
  <c r="AM8" i="65" l="1"/>
  <c r="AM7" i="65"/>
  <c r="AM6" i="65"/>
  <c r="AM10" i="28"/>
  <c r="AM7" i="28"/>
  <c r="AM8" i="28"/>
  <c r="AM9" i="28"/>
  <c r="AM6" i="28"/>
  <c r="AK10" i="67"/>
  <c r="AJ10" i="67"/>
  <c r="AH10" i="67"/>
  <c r="AG10" i="67"/>
  <c r="AE10" i="67"/>
  <c r="AF10" i="67" s="1"/>
  <c r="AD10" i="67"/>
  <c r="AM10" i="67" s="1"/>
  <c r="AM7" i="67"/>
  <c r="AM8" i="67"/>
  <c r="AO8" i="67" s="1"/>
  <c r="AM9" i="67"/>
  <c r="AM6" i="67"/>
  <c r="AR10" i="67"/>
  <c r="AI10" i="67"/>
  <c r="AC10" i="67"/>
  <c r="AB10" i="67"/>
  <c r="AA10" i="67"/>
  <c r="Y10" i="67"/>
  <c r="Z10" i="67" s="1"/>
  <c r="X10" i="67"/>
  <c r="V10" i="67"/>
  <c r="W10" i="67" s="1"/>
  <c r="U10" i="67"/>
  <c r="S10" i="67"/>
  <c r="R10" i="67"/>
  <c r="T10" i="67" s="1"/>
  <c r="Q10" i="67"/>
  <c r="P10" i="67"/>
  <c r="O10" i="67"/>
  <c r="M10" i="67"/>
  <c r="N10" i="67" s="1"/>
  <c r="L10" i="67"/>
  <c r="J10" i="67"/>
  <c r="K10" i="67" s="1"/>
  <c r="I10" i="67"/>
  <c r="G10" i="67"/>
  <c r="F10" i="67"/>
  <c r="H10" i="67" s="1"/>
  <c r="E10" i="67"/>
  <c r="D10" i="67"/>
  <c r="C10" i="67"/>
  <c r="AR9" i="67"/>
  <c r="AO9" i="67"/>
  <c r="AN9" i="67"/>
  <c r="AL9" i="67"/>
  <c r="AI9" i="67"/>
  <c r="AF9" i="67"/>
  <c r="AC9" i="67"/>
  <c r="Z9" i="67"/>
  <c r="W9" i="67"/>
  <c r="T9" i="67"/>
  <c r="Q9" i="67"/>
  <c r="N9" i="67"/>
  <c r="K9" i="67"/>
  <c r="H9" i="67"/>
  <c r="E9" i="67"/>
  <c r="AR8" i="67"/>
  <c r="AN8" i="67"/>
  <c r="AL8" i="67"/>
  <c r="AI8" i="67"/>
  <c r="AF8" i="67"/>
  <c r="AC8" i="67"/>
  <c r="Z8" i="67"/>
  <c r="W8" i="67"/>
  <c r="T8" i="67"/>
  <c r="Q8" i="67"/>
  <c r="N8" i="67"/>
  <c r="K8" i="67"/>
  <c r="H8" i="67"/>
  <c r="E8" i="67"/>
  <c r="AR7" i="67"/>
  <c r="AO7" i="67"/>
  <c r="AN7" i="67"/>
  <c r="AL7" i="67"/>
  <c r="AI7" i="67"/>
  <c r="AF7" i="67"/>
  <c r="AC7" i="67"/>
  <c r="Z7" i="67"/>
  <c r="W7" i="67"/>
  <c r="T7" i="67"/>
  <c r="Q7" i="67"/>
  <c r="N7" i="67"/>
  <c r="K7" i="67"/>
  <c r="H7" i="67"/>
  <c r="E7" i="67"/>
  <c r="AR6" i="67"/>
  <c r="AO6" i="67"/>
  <c r="AN6" i="67"/>
  <c r="AL6" i="67"/>
  <c r="AI6" i="67"/>
  <c r="AF6" i="67"/>
  <c r="AC6" i="67"/>
  <c r="Z6" i="67"/>
  <c r="W6" i="67"/>
  <c r="T6" i="67"/>
  <c r="Q6" i="67"/>
  <c r="N6" i="67"/>
  <c r="K6" i="67"/>
  <c r="H6" i="67"/>
  <c r="E6" i="67"/>
  <c r="AL10" i="67" l="1"/>
  <c r="AN10" i="67"/>
  <c r="AO10" i="67" l="1"/>
  <c r="D8" i="66"/>
  <c r="D3" i="66"/>
  <c r="D4" i="66"/>
  <c r="D5" i="66"/>
  <c r="D6" i="66"/>
  <c r="D7" i="66"/>
  <c r="D9" i="66"/>
  <c r="D10" i="66"/>
  <c r="D11" i="66"/>
  <c r="D12" i="66"/>
  <c r="D13" i="66"/>
  <c r="AL8" i="65" l="1"/>
  <c r="AL7" i="65"/>
  <c r="AL6" i="65"/>
  <c r="AK8" i="65"/>
  <c r="AL7" i="47" l="1"/>
  <c r="AL6" i="47"/>
  <c r="AK8" i="47"/>
  <c r="AJ8" i="47"/>
  <c r="AL8" i="47" l="1"/>
  <c r="AL10" i="34"/>
  <c r="AL9" i="34"/>
  <c r="AL8" i="34"/>
  <c r="AL7" i="34"/>
  <c r="AL6" i="34"/>
  <c r="AK10" i="34"/>
  <c r="AJ10" i="34"/>
  <c r="AL9" i="64" l="1"/>
  <c r="AL8" i="64"/>
  <c r="AL7" i="64"/>
  <c r="AL6" i="64"/>
  <c r="AK10" i="64"/>
  <c r="AJ10" i="64"/>
  <c r="AL9" i="42"/>
  <c r="AL8" i="42"/>
  <c r="AL7" i="42"/>
  <c r="AL6" i="42"/>
  <c r="AK10" i="42"/>
  <c r="AJ10" i="42"/>
  <c r="AL9" i="39"/>
  <c r="AL8" i="39"/>
  <c r="AK10" i="39"/>
  <c r="AL10" i="39" s="1"/>
  <c r="AJ10" i="39"/>
  <c r="AL7" i="39"/>
  <c r="AL6" i="39"/>
  <c r="AL9" i="45"/>
  <c r="AL8" i="45"/>
  <c r="AL7" i="45"/>
  <c r="AL6" i="45"/>
  <c r="AK10" i="45"/>
  <c r="AJ10" i="45"/>
  <c r="AL9" i="44"/>
  <c r="AL8" i="44"/>
  <c r="AL7" i="44"/>
  <c r="AL6" i="44"/>
  <c r="AK10" i="44"/>
  <c r="AJ10" i="44"/>
  <c r="AL9" i="32"/>
  <c r="AL8" i="32"/>
  <c r="AL7" i="32"/>
  <c r="AL6" i="32"/>
  <c r="AJ10" i="32"/>
  <c r="AK10" i="32"/>
  <c r="AL8" i="54"/>
  <c r="AL7" i="54"/>
  <c r="AL6" i="54"/>
  <c r="AK9" i="54"/>
  <c r="AJ9" i="54"/>
  <c r="AL9" i="23"/>
  <c r="AL8" i="23"/>
  <c r="AL7" i="23"/>
  <c r="AL6" i="23"/>
  <c r="AK10" i="23"/>
  <c r="AJ10" i="23"/>
  <c r="AL10" i="64" l="1"/>
  <c r="AL10" i="42"/>
  <c r="AL10" i="44"/>
  <c r="AL10" i="45"/>
  <c r="AL10" i="32"/>
  <c r="AL9" i="54"/>
  <c r="AL10" i="23"/>
  <c r="AL9" i="63"/>
  <c r="AL8" i="63"/>
  <c r="AL7" i="63"/>
  <c r="AL6" i="63"/>
  <c r="AK10" i="63"/>
  <c r="AJ10" i="63"/>
  <c r="AL10" i="60"/>
  <c r="AL9" i="60"/>
  <c r="AL8" i="60"/>
  <c r="AL7" i="60"/>
  <c r="AL6" i="60"/>
  <c r="AK10" i="60"/>
  <c r="AJ10" i="60"/>
  <c r="AL10" i="63" l="1"/>
  <c r="AL9" i="48"/>
  <c r="AL8" i="48"/>
  <c r="AL7" i="48"/>
  <c r="AL6" i="48"/>
  <c r="AK10" i="48"/>
  <c r="AJ10" i="48"/>
  <c r="AL9" i="28"/>
  <c r="AL8" i="28"/>
  <c r="AL7" i="28"/>
  <c r="AL6" i="28"/>
  <c r="AL10" i="48" l="1"/>
  <c r="AK10" i="33" l="1"/>
  <c r="AJ10" i="33"/>
  <c r="AL9" i="33"/>
  <c r="AL8" i="33"/>
  <c r="AL7" i="33"/>
  <c r="AL6" i="33"/>
  <c r="AL10" i="33" l="1"/>
  <c r="AK10" i="51"/>
  <c r="AJ10" i="51"/>
  <c r="AL9" i="51"/>
  <c r="AL8" i="51"/>
  <c r="AL7" i="51"/>
  <c r="AL6" i="51"/>
  <c r="AL8" i="46"/>
  <c r="AL7" i="46"/>
  <c r="AL6" i="46"/>
  <c r="AL6" i="14"/>
  <c r="AK10" i="14"/>
  <c r="AJ10" i="14"/>
  <c r="AL10" i="14" s="1"/>
  <c r="AL10" i="51" l="1"/>
  <c r="AL9" i="58"/>
  <c r="AL8" i="58"/>
  <c r="AL7" i="58"/>
  <c r="AL6" i="58"/>
  <c r="AK10" i="58"/>
  <c r="AJ10" i="58"/>
  <c r="AL10" i="58" l="1"/>
  <c r="AL10" i="30"/>
  <c r="AL9" i="30"/>
  <c r="AL8" i="30"/>
  <c r="AL7" i="30"/>
  <c r="AL6" i="30"/>
  <c r="AK10" i="30"/>
  <c r="AJ10" i="30"/>
  <c r="AK6" i="38"/>
  <c r="AJ9" i="38"/>
  <c r="AI9" i="38"/>
  <c r="AK9" i="38" l="1"/>
  <c r="AL9" i="59"/>
  <c r="AL8" i="59"/>
  <c r="AL7" i="59"/>
  <c r="AL6" i="59"/>
  <c r="AL10" i="59"/>
  <c r="AK10" i="59"/>
  <c r="AJ10" i="59"/>
  <c r="AK7" i="35"/>
  <c r="AK6" i="35"/>
  <c r="AJ10" i="35"/>
  <c r="AI10" i="35"/>
  <c r="AK10" i="35" s="1"/>
  <c r="AK10" i="36" l="1"/>
  <c r="AJ10" i="36"/>
  <c r="AL9" i="36"/>
  <c r="AL8" i="36"/>
  <c r="AL7" i="36"/>
  <c r="AL6" i="36"/>
  <c r="AL10" i="36" l="1"/>
  <c r="AK10" i="55"/>
  <c r="AJ10" i="55"/>
  <c r="AK10" i="57"/>
  <c r="AJ10" i="57"/>
  <c r="AL9" i="57"/>
  <c r="AL8" i="57"/>
  <c r="AL7" i="57"/>
  <c r="AL6" i="57"/>
  <c r="AL9" i="40"/>
  <c r="AL8" i="40"/>
  <c r="AL7" i="40"/>
  <c r="AL6" i="40"/>
  <c r="AK10" i="40"/>
  <c r="AJ10" i="40"/>
  <c r="AL10" i="57" l="1"/>
  <c r="AL10" i="40"/>
  <c r="AL10" i="49"/>
  <c r="AL9" i="49"/>
  <c r="AL8" i="49"/>
  <c r="AL7" i="49"/>
  <c r="AL6" i="49"/>
  <c r="AK10" i="49"/>
  <c r="AJ10" i="49"/>
  <c r="AL10" i="62" l="1"/>
  <c r="AL9" i="62"/>
  <c r="AL8" i="62"/>
  <c r="AL7" i="62"/>
  <c r="AL6" i="62"/>
  <c r="AK10" i="62"/>
  <c r="AJ10" i="62"/>
  <c r="AL9" i="24" l="1"/>
  <c r="AL8" i="24"/>
  <c r="AL7" i="24"/>
  <c r="AL6" i="24"/>
  <c r="AK10" i="24"/>
  <c r="AJ10" i="24"/>
  <c r="AL10" i="24" s="1"/>
  <c r="AI8" i="54" l="1"/>
  <c r="AI7" i="54"/>
  <c r="AI6" i="54"/>
  <c r="AH9" i="54"/>
  <c r="AG9" i="54"/>
  <c r="AI9" i="54" l="1"/>
  <c r="AI10" i="60"/>
  <c r="AI9" i="60"/>
  <c r="AI8" i="60"/>
  <c r="AI7" i="60"/>
  <c r="AI6" i="60"/>
  <c r="AH10" i="60"/>
  <c r="AG10" i="60"/>
  <c r="AJ8" i="65" l="1"/>
  <c r="AH8" i="65"/>
  <c r="AI8" i="65" s="1"/>
  <c r="AG8" i="65"/>
  <c r="AE8" i="65"/>
  <c r="AF8" i="65" s="1"/>
  <c r="AD8" i="65"/>
  <c r="AB8" i="65"/>
  <c r="AC8" i="65" s="1"/>
  <c r="AA8" i="65"/>
  <c r="Y8" i="65"/>
  <c r="X8" i="65"/>
  <c r="V8" i="65"/>
  <c r="W8" i="65" s="1"/>
  <c r="U8" i="65"/>
  <c r="S8" i="65"/>
  <c r="T8" i="65" s="1"/>
  <c r="R8" i="65"/>
  <c r="P8" i="65"/>
  <c r="Q8" i="65" s="1"/>
  <c r="O8" i="65"/>
  <c r="N8" i="65"/>
  <c r="M8" i="65"/>
  <c r="L8" i="65"/>
  <c r="J8" i="65"/>
  <c r="K8" i="65" s="1"/>
  <c r="I8" i="65"/>
  <c r="G8" i="65"/>
  <c r="H8" i="65" s="1"/>
  <c r="F8" i="65"/>
  <c r="D8" i="65"/>
  <c r="C8" i="65"/>
  <c r="AN7" i="65"/>
  <c r="AI7" i="65"/>
  <c r="AF7" i="65"/>
  <c r="AC7" i="65"/>
  <c r="Z7" i="65"/>
  <c r="W7" i="65"/>
  <c r="T7" i="65"/>
  <c r="Q7" i="65"/>
  <c r="N7" i="65"/>
  <c r="K7" i="65"/>
  <c r="H7" i="65"/>
  <c r="E7" i="65"/>
  <c r="AN6" i="65"/>
  <c r="AI6" i="65"/>
  <c r="AF6" i="65"/>
  <c r="AC6" i="65"/>
  <c r="Z6" i="65"/>
  <c r="W6" i="65"/>
  <c r="T6" i="65"/>
  <c r="Q6" i="65"/>
  <c r="N6" i="65"/>
  <c r="K6" i="65"/>
  <c r="H6" i="65"/>
  <c r="E6" i="65"/>
  <c r="Z8" i="65" l="1"/>
  <c r="AO7" i="65"/>
  <c r="E8" i="65"/>
  <c r="AO6" i="65"/>
  <c r="AN8" i="65"/>
  <c r="AO8" i="65" l="1"/>
  <c r="AI7" i="46"/>
  <c r="AI6" i="46"/>
  <c r="AI9" i="44" l="1"/>
  <c r="AI8" i="44"/>
  <c r="AI7" i="44"/>
  <c r="AH10" i="44"/>
  <c r="AG10" i="44"/>
  <c r="AI6" i="44"/>
  <c r="AI9" i="42"/>
  <c r="AI8" i="42"/>
  <c r="AI7" i="42"/>
  <c r="AI6" i="42"/>
  <c r="AH10" i="42"/>
  <c r="AG10" i="42"/>
  <c r="AI10" i="34"/>
  <c r="AI9" i="34"/>
  <c r="AI8" i="34"/>
  <c r="AI7" i="34"/>
  <c r="AI6" i="34"/>
  <c r="AI10" i="42" l="1"/>
  <c r="AI10" i="44"/>
  <c r="AH10" i="48"/>
  <c r="AG10" i="48"/>
  <c r="AI9" i="48"/>
  <c r="AI8" i="48"/>
  <c r="AI7" i="48"/>
  <c r="AI6" i="48"/>
  <c r="AI10" i="48" l="1"/>
  <c r="AH8" i="47"/>
  <c r="AG8" i="47"/>
  <c r="AI7" i="47"/>
  <c r="AI6" i="47"/>
  <c r="AI8" i="47" l="1"/>
  <c r="AI10" i="49"/>
  <c r="AI9" i="49"/>
  <c r="AI8" i="49"/>
  <c r="AI7" i="49"/>
  <c r="AI6" i="49"/>
  <c r="AH10" i="49"/>
  <c r="AG10" i="49"/>
  <c r="AI9" i="64" l="1"/>
  <c r="AI8" i="64"/>
  <c r="AI7" i="64"/>
  <c r="AI6" i="64"/>
  <c r="AH10" i="64"/>
  <c r="AG10" i="64"/>
  <c r="AI10" i="64" l="1"/>
  <c r="AI9" i="23"/>
  <c r="AI8" i="23"/>
  <c r="AI7" i="23"/>
  <c r="AI6" i="23"/>
  <c r="AH10" i="23"/>
  <c r="AG10" i="23"/>
  <c r="AH10" i="14"/>
  <c r="AG10" i="14"/>
  <c r="AI10" i="23" l="1"/>
  <c r="AH9" i="38" l="1"/>
  <c r="AE9" i="38"/>
  <c r="AH6" i="38"/>
  <c r="AG9" i="38"/>
  <c r="AF9" i="38"/>
  <c r="AH10" i="55"/>
  <c r="AG10" i="55"/>
  <c r="AI9" i="51" l="1"/>
  <c r="AI8" i="51"/>
  <c r="AI7" i="51"/>
  <c r="AI6" i="51"/>
  <c r="AH10" i="51"/>
  <c r="AG10" i="51"/>
  <c r="AI10" i="51" l="1"/>
  <c r="AI9" i="63"/>
  <c r="AI8" i="63"/>
  <c r="AI7" i="63"/>
  <c r="AI6" i="63"/>
  <c r="AH10" i="63"/>
  <c r="AG10" i="63"/>
  <c r="AI10" i="63" l="1"/>
  <c r="AI9" i="30"/>
  <c r="AI8" i="30"/>
  <c r="AI7" i="30"/>
  <c r="AI6" i="30"/>
  <c r="AI10" i="14"/>
  <c r="AI6" i="14"/>
  <c r="AH10" i="45" l="1"/>
  <c r="AG10" i="45"/>
  <c r="AI9" i="45"/>
  <c r="AI8" i="45"/>
  <c r="AI7" i="45"/>
  <c r="AI6" i="45"/>
  <c r="AI9" i="39"/>
  <c r="AI8" i="39"/>
  <c r="AI7" i="39"/>
  <c r="AI6" i="39"/>
  <c r="AH10" i="39"/>
  <c r="AG10" i="39"/>
  <c r="AH10" i="35"/>
  <c r="AG10" i="35"/>
  <c r="AF10" i="35"/>
  <c r="AH7" i="35"/>
  <c r="AH6" i="35"/>
  <c r="AI9" i="28"/>
  <c r="AI8" i="28"/>
  <c r="AI7" i="28"/>
  <c r="AI6" i="28"/>
  <c r="AI10" i="45" l="1"/>
  <c r="AI10" i="39"/>
  <c r="AI9" i="36"/>
  <c r="AI8" i="36"/>
  <c r="AI7" i="36"/>
  <c r="AI6" i="36"/>
  <c r="AH10" i="36"/>
  <c r="AG10" i="36"/>
  <c r="AI10" i="36" s="1"/>
  <c r="AI10" i="59" l="1"/>
  <c r="AI9" i="59"/>
  <c r="AI8" i="59"/>
  <c r="AI7" i="59"/>
  <c r="AI6" i="59"/>
  <c r="AH10" i="59"/>
  <c r="AG10" i="59"/>
  <c r="AI10" i="62" l="1"/>
  <c r="AI9" i="62"/>
  <c r="AI8" i="62"/>
  <c r="AI7" i="62"/>
  <c r="AI6" i="62"/>
  <c r="AH10" i="62"/>
  <c r="AG10" i="62"/>
  <c r="AH10" i="24" l="1"/>
  <c r="AG10" i="24"/>
  <c r="AI9" i="24"/>
  <c r="AI8" i="24"/>
  <c r="AI7" i="24"/>
  <c r="AI6" i="24"/>
  <c r="AI10" i="40"/>
  <c r="AH10" i="40"/>
  <c r="AG10" i="40"/>
  <c r="AI9" i="40"/>
  <c r="AI8" i="40"/>
  <c r="AI7" i="40"/>
  <c r="AI6" i="40"/>
  <c r="AI10" i="58"/>
  <c r="AH10" i="58"/>
  <c r="AG10" i="58"/>
  <c r="AI9" i="58"/>
  <c r="AI8" i="58"/>
  <c r="AI7" i="58"/>
  <c r="AI6" i="58"/>
  <c r="AI10" i="32"/>
  <c r="AI9" i="32"/>
  <c r="AI8" i="32"/>
  <c r="AI7" i="32"/>
  <c r="AI6" i="32"/>
  <c r="AI10" i="24" l="1"/>
  <c r="AE10" i="64"/>
  <c r="AD10" i="64"/>
  <c r="AB10" i="64"/>
  <c r="AA10" i="64"/>
  <c r="Y10" i="64"/>
  <c r="X10" i="64"/>
  <c r="V10" i="64"/>
  <c r="W10" i="64" s="1"/>
  <c r="U10" i="64"/>
  <c r="S10" i="64"/>
  <c r="R10" i="64"/>
  <c r="P10" i="64"/>
  <c r="O10" i="64"/>
  <c r="M10" i="64"/>
  <c r="L10" i="64"/>
  <c r="J10" i="64"/>
  <c r="K10" i="64" s="1"/>
  <c r="I10" i="64"/>
  <c r="G10" i="64"/>
  <c r="F10" i="64"/>
  <c r="D10" i="64"/>
  <c r="C10" i="64"/>
  <c r="AN9" i="64"/>
  <c r="AO9" i="64" s="1"/>
  <c r="AM9" i="64"/>
  <c r="AF9" i="64"/>
  <c r="AC9" i="64"/>
  <c r="Z9" i="64"/>
  <c r="W9" i="64"/>
  <c r="T9" i="64"/>
  <c r="Q9" i="64"/>
  <c r="N9" i="64"/>
  <c r="K9" i="64"/>
  <c r="H9" i="64"/>
  <c r="E9" i="64"/>
  <c r="AN8" i="64"/>
  <c r="AM8" i="64"/>
  <c r="AF8" i="64"/>
  <c r="AC8" i="64"/>
  <c r="Z8" i="64"/>
  <c r="W8" i="64"/>
  <c r="T8" i="64"/>
  <c r="Q8" i="64"/>
  <c r="N8" i="64"/>
  <c r="K8" i="64"/>
  <c r="H8" i="64"/>
  <c r="E8" i="64"/>
  <c r="AN7" i="64"/>
  <c r="AM7" i="64"/>
  <c r="AF7" i="64"/>
  <c r="AC7" i="64"/>
  <c r="Z7" i="64"/>
  <c r="W7" i="64"/>
  <c r="T7" i="64"/>
  <c r="Q7" i="64"/>
  <c r="N7" i="64"/>
  <c r="K7" i="64"/>
  <c r="H7" i="64"/>
  <c r="E7" i="64"/>
  <c r="AN6" i="64"/>
  <c r="AM6" i="64"/>
  <c r="AF6" i="64"/>
  <c r="AC6" i="64"/>
  <c r="Z6" i="64"/>
  <c r="W6" i="64"/>
  <c r="T6" i="64"/>
  <c r="Q6" i="64"/>
  <c r="N6" i="64"/>
  <c r="K6" i="64"/>
  <c r="H6" i="64"/>
  <c r="E6" i="64"/>
  <c r="AF10" i="64" l="1"/>
  <c r="AC10" i="64"/>
  <c r="Z10" i="64"/>
  <c r="T10" i="64"/>
  <c r="Q10" i="64"/>
  <c r="N10" i="64"/>
  <c r="AM10" i="64"/>
  <c r="AO7" i="64"/>
  <c r="AO8" i="64"/>
  <c r="H10" i="64"/>
  <c r="AN10" i="64"/>
  <c r="AO10" i="64" s="1"/>
  <c r="AO6" i="64"/>
  <c r="E10" i="64"/>
  <c r="AE10" i="60" l="1"/>
  <c r="AD10" i="60"/>
  <c r="AF10" i="60" s="1"/>
  <c r="AF9" i="60"/>
  <c r="AF8" i="60"/>
  <c r="AF7" i="60"/>
  <c r="AF6" i="60"/>
  <c r="AD10" i="34" l="1"/>
  <c r="AF9" i="34"/>
  <c r="AF8" i="34"/>
  <c r="AF7" i="34"/>
  <c r="AF6" i="34"/>
  <c r="AE10" i="44" l="1"/>
  <c r="AD10" i="44"/>
  <c r="AF9" i="44"/>
  <c r="AF8" i="44"/>
  <c r="AF7" i="44"/>
  <c r="AF6" i="44"/>
  <c r="AE10" i="42"/>
  <c r="AD10" i="42"/>
  <c r="AF10" i="42" s="1"/>
  <c r="AF9" i="42"/>
  <c r="AF8" i="42"/>
  <c r="AF7" i="42"/>
  <c r="AF6" i="42"/>
  <c r="AF10" i="44" l="1"/>
  <c r="AF7" i="46"/>
  <c r="AF6" i="46"/>
  <c r="AE10" i="23" l="1"/>
  <c r="AD10" i="23"/>
  <c r="AF9" i="23"/>
  <c r="AF8" i="23"/>
  <c r="AF7" i="23"/>
  <c r="AF6" i="23"/>
  <c r="AF10" i="23" l="1"/>
  <c r="AE10" i="63"/>
  <c r="AD10" i="63"/>
  <c r="AF9" i="63"/>
  <c r="AF8" i="63"/>
  <c r="AF7" i="63"/>
  <c r="AF6" i="63"/>
  <c r="AF10" i="63" l="1"/>
  <c r="AE8" i="47"/>
  <c r="AD8" i="47"/>
  <c r="AF7" i="47"/>
  <c r="AF6" i="47"/>
  <c r="AF8" i="47" l="1"/>
  <c r="AF10" i="14"/>
  <c r="AE10" i="14"/>
  <c r="AD10" i="14"/>
  <c r="AF6" i="14"/>
  <c r="AE10" i="55" l="1"/>
  <c r="AD10" i="55"/>
  <c r="AF8" i="54"/>
  <c r="AF7" i="54"/>
  <c r="AF6" i="54"/>
  <c r="AD9" i="38"/>
  <c r="AC9" i="38"/>
  <c r="AE6" i="38"/>
  <c r="AF9" i="28" l="1"/>
  <c r="AF8" i="28"/>
  <c r="AF7" i="28"/>
  <c r="AF6" i="28"/>
  <c r="AE10" i="51" l="1"/>
  <c r="AD10" i="51"/>
  <c r="AF10" i="51" s="1"/>
  <c r="AF9" i="51"/>
  <c r="AF8" i="51"/>
  <c r="AF7" i="51"/>
  <c r="AF6" i="51"/>
  <c r="AF10" i="32"/>
  <c r="AF9" i="32"/>
  <c r="AF8" i="32"/>
  <c r="AF7" i="32"/>
  <c r="AF6" i="32"/>
  <c r="AF9" i="48"/>
  <c r="AF8" i="48"/>
  <c r="AF7" i="48"/>
  <c r="AF6" i="48"/>
  <c r="AE10" i="48"/>
  <c r="AD10" i="48"/>
  <c r="AF9" i="40"/>
  <c r="AF8" i="40"/>
  <c r="AF7" i="40"/>
  <c r="AF6" i="40"/>
  <c r="AE10" i="40"/>
  <c r="AD10" i="40"/>
  <c r="AM10" i="40" s="1"/>
  <c r="AE10" i="45"/>
  <c r="AD10" i="45"/>
  <c r="AF9" i="45"/>
  <c r="AF8" i="45"/>
  <c r="AF7" i="45"/>
  <c r="AF6" i="45"/>
  <c r="AF9" i="39"/>
  <c r="AF8" i="39"/>
  <c r="AF7" i="39"/>
  <c r="AF6" i="39"/>
  <c r="AE10" i="39"/>
  <c r="AD10" i="39"/>
  <c r="AE7" i="35"/>
  <c r="AE6" i="35"/>
  <c r="AD10" i="35"/>
  <c r="AC10" i="35"/>
  <c r="AE10" i="35" s="1"/>
  <c r="AF10" i="48" l="1"/>
  <c r="AF10" i="40"/>
  <c r="AF10" i="45"/>
  <c r="AF10" i="39"/>
  <c r="AF9" i="36"/>
  <c r="AF8" i="36"/>
  <c r="AF7" i="36"/>
  <c r="AF6" i="36"/>
  <c r="AE10" i="36"/>
  <c r="AD10" i="36"/>
  <c r="AF10" i="36" l="1"/>
  <c r="AF9" i="30"/>
  <c r="AF8" i="30"/>
  <c r="AF7" i="30"/>
  <c r="AF6" i="30"/>
  <c r="AF9" i="59" l="1"/>
  <c r="AF8" i="59"/>
  <c r="AF7" i="59"/>
  <c r="AF6" i="59"/>
  <c r="AE10" i="59"/>
  <c r="AF10" i="59" s="1"/>
  <c r="AD10" i="59"/>
  <c r="AF9" i="62" l="1"/>
  <c r="AF8" i="62"/>
  <c r="AF7" i="62"/>
  <c r="AF6" i="62"/>
  <c r="AE10" i="62"/>
  <c r="AD10" i="62"/>
  <c r="AF10" i="24"/>
  <c r="AD10" i="24"/>
  <c r="AF9" i="24"/>
  <c r="AF8" i="24"/>
  <c r="AF7" i="24"/>
  <c r="AF6" i="24"/>
  <c r="AE10" i="24"/>
  <c r="AF10" i="62" l="1"/>
  <c r="AE10" i="58"/>
  <c r="AD10" i="58"/>
  <c r="AF10" i="58"/>
  <c r="AF9" i="58"/>
  <c r="AF8" i="58"/>
  <c r="AF7" i="58"/>
  <c r="AF6" i="58"/>
  <c r="AF10" i="49"/>
  <c r="AF7" i="49"/>
  <c r="AF8" i="49"/>
  <c r="AF9" i="49"/>
  <c r="AF6" i="49"/>
  <c r="AE10" i="49"/>
  <c r="AD10" i="49"/>
  <c r="AC10" i="30" l="1"/>
  <c r="AC9" i="30"/>
  <c r="AC8" i="30"/>
  <c r="AC7" i="30"/>
  <c r="AC6" i="30"/>
  <c r="AC9" i="60" l="1"/>
  <c r="AC8" i="60"/>
  <c r="AC7" i="60"/>
  <c r="AC6" i="60"/>
  <c r="AB10" i="60"/>
  <c r="AA10" i="60"/>
  <c r="AC10" i="60" l="1"/>
  <c r="AB10" i="55"/>
  <c r="AA10" i="55"/>
  <c r="AC7" i="48"/>
  <c r="AC8" i="48"/>
  <c r="AC9" i="48"/>
  <c r="AB10" i="23" l="1"/>
  <c r="AC10" i="23" s="1"/>
  <c r="AA10" i="23"/>
  <c r="AC7" i="23"/>
  <c r="AC8" i="23"/>
  <c r="AC9" i="23"/>
  <c r="AC6" i="23"/>
  <c r="AB10" i="51" l="1"/>
  <c r="AA10" i="51"/>
  <c r="AC7" i="51"/>
  <c r="AC8" i="51"/>
  <c r="AC9" i="51"/>
  <c r="AC6" i="51"/>
  <c r="AC7" i="34"/>
  <c r="AC8" i="34"/>
  <c r="AC9" i="34"/>
  <c r="AC6" i="34"/>
  <c r="AC6" i="48"/>
  <c r="AC10" i="51" l="1"/>
  <c r="AB10" i="48"/>
  <c r="AA10" i="48"/>
  <c r="AC7" i="63"/>
  <c r="AC8" i="63"/>
  <c r="AC9" i="63"/>
  <c r="AC6" i="63"/>
  <c r="AB10" i="63"/>
  <c r="AC8" i="46"/>
  <c r="AC7" i="46"/>
  <c r="AC6" i="46"/>
  <c r="AC10" i="48" l="1"/>
  <c r="AC6" i="57"/>
  <c r="AB10" i="44"/>
  <c r="AC10" i="44" s="1"/>
  <c r="AA10" i="44"/>
  <c r="AC7" i="44"/>
  <c r="AC8" i="44"/>
  <c r="AC9" i="44"/>
  <c r="AC6" i="44"/>
  <c r="AC7" i="39"/>
  <c r="AC8" i="39"/>
  <c r="AC9" i="39"/>
  <c r="AC6" i="39"/>
  <c r="AB10" i="39"/>
  <c r="AA10" i="39"/>
  <c r="AC7" i="42"/>
  <c r="AC8" i="42"/>
  <c r="AC9" i="42"/>
  <c r="AC6" i="42"/>
  <c r="AB10" i="42"/>
  <c r="AA10" i="42"/>
  <c r="AA10" i="35"/>
  <c r="Z10" i="35"/>
  <c r="AB7" i="35"/>
  <c r="AB6" i="35"/>
  <c r="AC10" i="14"/>
  <c r="AB10" i="14"/>
  <c r="AA10" i="14"/>
  <c r="AC6" i="14"/>
  <c r="AC7" i="28"/>
  <c r="AC8" i="28"/>
  <c r="AC9" i="28"/>
  <c r="AC6" i="28"/>
  <c r="AC10" i="42" l="1"/>
  <c r="AC10" i="39"/>
  <c r="AB10" i="35"/>
  <c r="Z10" i="60" l="1"/>
  <c r="Z7" i="60"/>
  <c r="Z8" i="60"/>
  <c r="Z9" i="60"/>
  <c r="Z6" i="60"/>
  <c r="Y10" i="60"/>
  <c r="X10" i="60"/>
  <c r="AC8" i="47" l="1"/>
  <c r="AC7" i="47"/>
  <c r="AC6" i="47"/>
  <c r="AB8" i="47"/>
  <c r="Z7" i="63" l="1"/>
  <c r="Z8" i="63"/>
  <c r="Z9" i="63"/>
  <c r="Z6" i="63"/>
  <c r="AC7" i="36" l="1"/>
  <c r="AC8" i="36"/>
  <c r="AC9" i="36"/>
  <c r="AC6" i="36"/>
  <c r="AB10" i="36" l="1"/>
  <c r="AA10" i="36"/>
  <c r="AC10" i="36" s="1"/>
  <c r="AC10" i="58" l="1"/>
  <c r="AB10" i="58"/>
  <c r="AA10" i="58"/>
  <c r="AC8" i="58"/>
  <c r="AC9" i="58"/>
  <c r="Z8" i="58"/>
  <c r="Z9" i="58"/>
  <c r="AC7" i="58"/>
  <c r="AC6" i="58"/>
  <c r="Z6" i="58"/>
  <c r="AC9" i="32"/>
  <c r="AC8" i="32"/>
  <c r="AC7" i="32"/>
  <c r="AC6" i="32"/>
  <c r="AB10" i="59" l="1"/>
  <c r="AA10" i="59"/>
  <c r="AC7" i="59"/>
  <c r="AC8" i="59"/>
  <c r="AC9" i="59"/>
  <c r="AC6" i="59"/>
  <c r="Z7" i="54"/>
  <c r="Z8" i="54"/>
  <c r="AC7" i="54"/>
  <c r="AC8" i="54"/>
  <c r="AC6" i="54"/>
  <c r="Z6" i="54"/>
  <c r="AC10" i="59" l="1"/>
  <c r="Y10" i="55"/>
  <c r="X10" i="55"/>
  <c r="Y10" i="23"/>
  <c r="X10" i="23"/>
  <c r="Z9" i="23"/>
  <c r="Z8" i="23"/>
  <c r="Z7" i="23"/>
  <c r="Z6" i="23"/>
  <c r="Y10" i="51"/>
  <c r="X10" i="51"/>
  <c r="Z9" i="51"/>
  <c r="Z8" i="51"/>
  <c r="Z7" i="51"/>
  <c r="Z6" i="51"/>
  <c r="AC10" i="24"/>
  <c r="Z10" i="24"/>
  <c r="AC9" i="24"/>
  <c r="AC8" i="24"/>
  <c r="AC7" i="24"/>
  <c r="AC6" i="24"/>
  <c r="AB10" i="24"/>
  <c r="AA10" i="24"/>
  <c r="Z10" i="23" l="1"/>
  <c r="Z10" i="51"/>
  <c r="Y10" i="58"/>
  <c r="X10" i="58"/>
  <c r="Z7" i="58"/>
  <c r="W7" i="58"/>
  <c r="Z10" i="58" l="1"/>
  <c r="AB9" i="38"/>
  <c r="AA9" i="38"/>
  <c r="Z9" i="38"/>
  <c r="X9" i="38"/>
  <c r="W9" i="38"/>
  <c r="Y9" i="38" s="1"/>
  <c r="U9" i="38"/>
  <c r="T9" i="38"/>
  <c r="V9" i="38" s="1"/>
  <c r="AB6" i="38"/>
  <c r="V6" i="38"/>
  <c r="Y6" i="38"/>
  <c r="Z9" i="34"/>
  <c r="Z8" i="34"/>
  <c r="Z7" i="34"/>
  <c r="Z6" i="34"/>
  <c r="Y10" i="48"/>
  <c r="Z10" i="48" s="1"/>
  <c r="X10" i="48"/>
  <c r="Z7" i="48"/>
  <c r="Z8" i="48"/>
  <c r="Z9" i="48"/>
  <c r="Z6" i="48"/>
  <c r="AA8" i="47" l="1"/>
  <c r="Z8" i="47"/>
  <c r="Z7" i="47"/>
  <c r="Z6" i="47"/>
  <c r="Y8" i="47"/>
  <c r="X8" i="47"/>
  <c r="AB10" i="62"/>
  <c r="AC10" i="62" s="1"/>
  <c r="AA10" i="62"/>
  <c r="AC7" i="62"/>
  <c r="AC8" i="62"/>
  <c r="AC9" i="62"/>
  <c r="AC6" i="62"/>
  <c r="Z9" i="30" l="1"/>
  <c r="Z8" i="30"/>
  <c r="Z7" i="30"/>
  <c r="Z6" i="30"/>
  <c r="Z7" i="46"/>
  <c r="Z6" i="46"/>
  <c r="Z10" i="14"/>
  <c r="Z6" i="14"/>
  <c r="Y10" i="14"/>
  <c r="X10" i="14"/>
  <c r="AC10" i="49"/>
  <c r="AC7" i="49"/>
  <c r="AC8" i="49"/>
  <c r="AC9" i="49"/>
  <c r="AC6" i="49"/>
  <c r="AB10" i="49"/>
  <c r="AA10" i="49"/>
  <c r="AB10" i="40" l="1"/>
  <c r="AA10" i="40"/>
  <c r="AC7" i="40"/>
  <c r="AC8" i="40"/>
  <c r="AC9" i="40"/>
  <c r="AC6" i="40"/>
  <c r="Y10" i="40"/>
  <c r="X10" i="40"/>
  <c r="Z10" i="40"/>
  <c r="Z7" i="40"/>
  <c r="Z8" i="40"/>
  <c r="Z9" i="40"/>
  <c r="Z6" i="40"/>
  <c r="AC7" i="45"/>
  <c r="AC8" i="45"/>
  <c r="AC9" i="45"/>
  <c r="AC6" i="45"/>
  <c r="AC10" i="45"/>
  <c r="AB10" i="45"/>
  <c r="AA10" i="45"/>
  <c r="Z10" i="45"/>
  <c r="Y10" i="45"/>
  <c r="X10" i="45"/>
  <c r="Z7" i="45"/>
  <c r="Z8" i="45"/>
  <c r="Z9" i="45"/>
  <c r="Z6" i="45"/>
  <c r="AC10" i="40" l="1"/>
  <c r="Y10" i="39"/>
  <c r="Z10" i="39" s="1"/>
  <c r="X10" i="39"/>
  <c r="Z9" i="39"/>
  <c r="Z8" i="39"/>
  <c r="Z7" i="39"/>
  <c r="Z6" i="39"/>
  <c r="Z10" i="42"/>
  <c r="Z7" i="42"/>
  <c r="Z8" i="42"/>
  <c r="Z9" i="42"/>
  <c r="Z6" i="42"/>
  <c r="Y10" i="42"/>
  <c r="X10" i="42"/>
  <c r="W7" i="42"/>
  <c r="W8" i="42"/>
  <c r="W9" i="42"/>
  <c r="W6" i="42"/>
  <c r="W10" i="42"/>
  <c r="V10" i="42"/>
  <c r="U10" i="42"/>
  <c r="Y10" i="35" l="1"/>
  <c r="Y7" i="35"/>
  <c r="Y6" i="35"/>
  <c r="X10" i="35"/>
  <c r="W10" i="35"/>
  <c r="X10" i="24"/>
  <c r="Z7" i="24"/>
  <c r="Z8" i="24"/>
  <c r="Z9" i="24"/>
  <c r="Z6" i="24"/>
  <c r="Y10" i="24"/>
  <c r="Z10" i="59" l="1"/>
  <c r="Z7" i="59"/>
  <c r="Z8" i="59"/>
  <c r="Z9" i="59"/>
  <c r="Z6" i="59"/>
  <c r="Y10" i="59"/>
  <c r="X10" i="59"/>
  <c r="Z7" i="36" l="1"/>
  <c r="Z8" i="36"/>
  <c r="Z9" i="36"/>
  <c r="Z6" i="36"/>
  <c r="X10" i="36"/>
  <c r="Z10" i="36" s="1"/>
  <c r="Y10" i="36"/>
  <c r="Z10" i="44" l="1"/>
  <c r="Z7" i="44"/>
  <c r="Z8" i="44"/>
  <c r="Z9" i="44"/>
  <c r="Z6" i="44"/>
  <c r="Y10" i="44"/>
  <c r="X10" i="44"/>
  <c r="Z7" i="28" l="1"/>
  <c r="Z8" i="28"/>
  <c r="Z9" i="28"/>
  <c r="Z6" i="28"/>
  <c r="Z7" i="62"/>
  <c r="Z8" i="62"/>
  <c r="Z9" i="62"/>
  <c r="Z6" i="62"/>
  <c r="Y10" i="62"/>
  <c r="X10" i="62"/>
  <c r="Z10" i="62" l="1"/>
  <c r="Z7" i="49"/>
  <c r="Z8" i="49"/>
  <c r="Z9" i="49"/>
  <c r="Z6" i="49"/>
  <c r="X10" i="49"/>
  <c r="Y10" i="49"/>
  <c r="Z10" i="49" l="1"/>
  <c r="Z10" i="32"/>
  <c r="Z7" i="32"/>
  <c r="Z8" i="32"/>
  <c r="Z9" i="32"/>
  <c r="Z6" i="32"/>
  <c r="W7" i="32"/>
  <c r="W8" i="32"/>
  <c r="W9" i="32"/>
  <c r="W6" i="32"/>
  <c r="U10" i="32"/>
  <c r="AA10" i="63" l="1"/>
  <c r="Y10" i="63"/>
  <c r="X10" i="63"/>
  <c r="V10" i="63"/>
  <c r="U10" i="63"/>
  <c r="S10" i="63"/>
  <c r="R10" i="63"/>
  <c r="P10" i="63"/>
  <c r="O10" i="63"/>
  <c r="M10" i="63"/>
  <c r="L10" i="63"/>
  <c r="J10" i="63"/>
  <c r="I10" i="63"/>
  <c r="G10" i="63"/>
  <c r="F10" i="63"/>
  <c r="D10" i="63"/>
  <c r="C10" i="63"/>
  <c r="AN9" i="63"/>
  <c r="AM9" i="63"/>
  <c r="W9" i="63"/>
  <c r="T9" i="63"/>
  <c r="Q9" i="63"/>
  <c r="N9" i="63"/>
  <c r="K9" i="63"/>
  <c r="H9" i="63"/>
  <c r="E9" i="63"/>
  <c r="AN8" i="63"/>
  <c r="AM8" i="63"/>
  <c r="W8" i="63"/>
  <c r="T8" i="63"/>
  <c r="Q8" i="63"/>
  <c r="N8" i="63"/>
  <c r="K8" i="63"/>
  <c r="H8" i="63"/>
  <c r="E8" i="63"/>
  <c r="AN7" i="63"/>
  <c r="AM7" i="63"/>
  <c r="W7" i="63"/>
  <c r="T7" i="63"/>
  <c r="Q7" i="63"/>
  <c r="N7" i="63"/>
  <c r="K7" i="63"/>
  <c r="H7" i="63"/>
  <c r="E7" i="63"/>
  <c r="AN6" i="63"/>
  <c r="AM6" i="63"/>
  <c r="W6" i="63"/>
  <c r="T6" i="63"/>
  <c r="Q6" i="63"/>
  <c r="N6" i="63"/>
  <c r="K6" i="63"/>
  <c r="H6" i="63"/>
  <c r="E6" i="63"/>
  <c r="AC10" i="63" l="1"/>
  <c r="Z10" i="63"/>
  <c r="W10" i="63"/>
  <c r="T10" i="63"/>
  <c r="Q10" i="63"/>
  <c r="N10" i="63"/>
  <c r="AM10" i="63"/>
  <c r="K10" i="63"/>
  <c r="H10" i="63"/>
  <c r="E10" i="63"/>
  <c r="C2" i="66"/>
  <c r="C14" i="66" s="1"/>
  <c r="AO7" i="63"/>
  <c r="AO8" i="63"/>
  <c r="AO9" i="63"/>
  <c r="AO6" i="63"/>
  <c r="AN10" i="63"/>
  <c r="AO10" i="63" l="1"/>
  <c r="W7" i="23"/>
  <c r="W8" i="23"/>
  <c r="W9" i="23"/>
  <c r="W6" i="23"/>
  <c r="V10" i="23"/>
  <c r="U10" i="23"/>
  <c r="W10" i="23" s="1"/>
  <c r="W9" i="40" l="1"/>
  <c r="W7" i="46" l="1"/>
  <c r="W8" i="46"/>
  <c r="W6" i="46"/>
  <c r="AL8" i="35"/>
  <c r="AL9" i="35"/>
  <c r="AM8" i="35"/>
  <c r="AM9" i="35"/>
  <c r="W9" i="48" l="1"/>
  <c r="W8" i="48"/>
  <c r="W7" i="48"/>
  <c r="W6" i="48"/>
  <c r="T6" i="48"/>
  <c r="V10" i="48"/>
  <c r="W10" i="48" s="1"/>
  <c r="U10" i="48"/>
  <c r="U8" i="47" l="1"/>
  <c r="V8" i="47"/>
  <c r="AM10" i="62" l="1"/>
  <c r="AM7" i="62"/>
  <c r="AM8" i="62"/>
  <c r="AM9" i="62"/>
  <c r="AM6" i="62"/>
  <c r="W9" i="62"/>
  <c r="V10" i="62"/>
  <c r="W10" i="62" s="1"/>
  <c r="U10" i="62"/>
  <c r="S10" i="62"/>
  <c r="T10" i="62" s="1"/>
  <c r="R10" i="62"/>
  <c r="P10" i="62"/>
  <c r="Q10" i="62" s="1"/>
  <c r="O10" i="62"/>
  <c r="N10" i="62"/>
  <c r="M10" i="62"/>
  <c r="L10" i="62"/>
  <c r="J10" i="62"/>
  <c r="K10" i="62" s="1"/>
  <c r="I10" i="62"/>
  <c r="G10" i="62"/>
  <c r="H10" i="62" s="1"/>
  <c r="F10" i="62"/>
  <c r="D10" i="62"/>
  <c r="AN10" i="62" s="1"/>
  <c r="C10" i="62"/>
  <c r="AN9" i="62"/>
  <c r="T9" i="62"/>
  <c r="Q9" i="62"/>
  <c r="N9" i="62"/>
  <c r="K9" i="62"/>
  <c r="H9" i="62"/>
  <c r="E9" i="62"/>
  <c r="AN8" i="62"/>
  <c r="W8" i="62"/>
  <c r="T8" i="62"/>
  <c r="Q8" i="62"/>
  <c r="N8" i="62"/>
  <c r="K8" i="62"/>
  <c r="H8" i="62"/>
  <c r="E8" i="62"/>
  <c r="AN7" i="62"/>
  <c r="W7" i="62"/>
  <c r="T7" i="62"/>
  <c r="Q7" i="62"/>
  <c r="N7" i="62"/>
  <c r="K7" i="62"/>
  <c r="H7" i="62"/>
  <c r="E7" i="62"/>
  <c r="AN6" i="62"/>
  <c r="W6" i="62"/>
  <c r="T6" i="62"/>
  <c r="Q6" i="62"/>
  <c r="N6" i="62"/>
  <c r="K6" i="62"/>
  <c r="H6" i="62"/>
  <c r="E6" i="62"/>
  <c r="AO7" i="62" l="1"/>
  <c r="AO9" i="62"/>
  <c r="AO8" i="62"/>
  <c r="AO6" i="62"/>
  <c r="AO10" i="62"/>
  <c r="E10" i="62"/>
  <c r="W7" i="34" l="1"/>
  <c r="W8" i="34"/>
  <c r="W9" i="34"/>
  <c r="W6" i="34"/>
  <c r="Q7" i="34"/>
  <c r="N7" i="34"/>
  <c r="K7" i="34"/>
  <c r="H7" i="34"/>
  <c r="E7" i="34"/>
  <c r="AN7" i="34"/>
  <c r="AM7" i="34"/>
  <c r="AM8" i="34"/>
  <c r="AM9" i="34"/>
  <c r="AM6" i="34"/>
  <c r="AO7" i="34" l="1"/>
  <c r="W7" i="28"/>
  <c r="W8" i="28"/>
  <c r="W9" i="28"/>
  <c r="W6" i="28"/>
  <c r="AL6" i="38"/>
  <c r="AL7" i="38"/>
  <c r="AL8" i="38"/>
  <c r="W8" i="47"/>
  <c r="W7" i="47"/>
  <c r="W6" i="47"/>
  <c r="AM7" i="47"/>
  <c r="AM6" i="47"/>
  <c r="V10" i="44"/>
  <c r="U10" i="44"/>
  <c r="W7" i="44"/>
  <c r="W8" i="44"/>
  <c r="W9" i="44"/>
  <c r="W6" i="44"/>
  <c r="W10" i="44" l="1"/>
  <c r="AM10" i="14"/>
  <c r="AM7" i="14"/>
  <c r="AM8" i="14"/>
  <c r="AM9" i="14"/>
  <c r="AM6" i="14"/>
  <c r="P10" i="14"/>
  <c r="O10" i="14"/>
  <c r="N10" i="14"/>
  <c r="M10" i="14"/>
  <c r="L10" i="14"/>
  <c r="W10" i="14"/>
  <c r="W6" i="14"/>
  <c r="V10" i="14"/>
  <c r="U10" i="14"/>
  <c r="S10" i="14"/>
  <c r="R10" i="14"/>
  <c r="T8" i="55"/>
  <c r="T9" i="55"/>
  <c r="Q10" i="14" l="1"/>
  <c r="V10" i="55"/>
  <c r="U10" i="55"/>
  <c r="AM9" i="55"/>
  <c r="AM8" i="55"/>
  <c r="AM7" i="55"/>
  <c r="AM6" i="55"/>
  <c r="R9" i="38"/>
  <c r="Q9" i="38"/>
  <c r="AM6" i="38"/>
  <c r="AM7" i="54"/>
  <c r="AM8" i="54"/>
  <c r="AM6" i="54"/>
  <c r="W10" i="51"/>
  <c r="W7" i="51"/>
  <c r="W8" i="51"/>
  <c r="W9" i="51"/>
  <c r="W6" i="51"/>
  <c r="U10" i="51"/>
  <c r="AM10" i="51" s="1"/>
  <c r="V10" i="51"/>
  <c r="AM7" i="51"/>
  <c r="AM8" i="51"/>
  <c r="AM9" i="51"/>
  <c r="T7" i="51"/>
  <c r="T8" i="51"/>
  <c r="T9" i="51"/>
  <c r="T6" i="51"/>
  <c r="AM7" i="32"/>
  <c r="AM8" i="32"/>
  <c r="AM9" i="32"/>
  <c r="AM6" i="32"/>
  <c r="T7" i="32"/>
  <c r="T8" i="32"/>
  <c r="T9" i="32"/>
  <c r="T6" i="32"/>
  <c r="AM7" i="48"/>
  <c r="AM8" i="48"/>
  <c r="AM9" i="48"/>
  <c r="AM6" i="48"/>
  <c r="AM7" i="46" l="1"/>
  <c r="AM6" i="46"/>
  <c r="T7" i="46"/>
  <c r="Q7" i="46"/>
  <c r="N7" i="46"/>
  <c r="K7" i="46"/>
  <c r="H7" i="46"/>
  <c r="E7" i="46"/>
  <c r="V10" i="40"/>
  <c r="U10" i="40"/>
  <c r="AM10" i="45"/>
  <c r="AM7" i="45"/>
  <c r="AM8" i="45"/>
  <c r="AM9" i="45"/>
  <c r="AM6" i="45"/>
  <c r="W7" i="30"/>
  <c r="W8" i="30"/>
  <c r="W9" i="30"/>
  <c r="W6" i="30"/>
  <c r="W10" i="40" l="1"/>
  <c r="AN10" i="60"/>
  <c r="AM10" i="60"/>
  <c r="AM7" i="60"/>
  <c r="AM8" i="60"/>
  <c r="AM9" i="60"/>
  <c r="AM6" i="60"/>
  <c r="W10" i="60"/>
  <c r="V10" i="60"/>
  <c r="U10" i="60"/>
  <c r="S10" i="60"/>
  <c r="T10" i="60" s="1"/>
  <c r="R10" i="60"/>
  <c r="P10" i="60"/>
  <c r="Q10" i="60" s="1"/>
  <c r="O10" i="60"/>
  <c r="N10" i="60"/>
  <c r="M10" i="60"/>
  <c r="L10" i="60"/>
  <c r="K10" i="60"/>
  <c r="J10" i="60"/>
  <c r="I10" i="60"/>
  <c r="G10" i="60"/>
  <c r="H10" i="60" s="1"/>
  <c r="F10" i="60"/>
  <c r="D10" i="60"/>
  <c r="C10" i="60"/>
  <c r="AN9" i="60"/>
  <c r="W9" i="60"/>
  <c r="T9" i="60"/>
  <c r="Q9" i="60"/>
  <c r="N9" i="60"/>
  <c r="K9" i="60"/>
  <c r="H9" i="60"/>
  <c r="E9" i="60"/>
  <c r="AN8" i="60"/>
  <c r="W8" i="60"/>
  <c r="T8" i="60"/>
  <c r="Q8" i="60"/>
  <c r="N8" i="60"/>
  <c r="K8" i="60"/>
  <c r="H8" i="60"/>
  <c r="E8" i="60"/>
  <c r="AN7" i="60"/>
  <c r="W7" i="60"/>
  <c r="T7" i="60"/>
  <c r="Q7" i="60"/>
  <c r="N7" i="60"/>
  <c r="K7" i="60"/>
  <c r="H7" i="60"/>
  <c r="E7" i="60"/>
  <c r="AN6" i="60"/>
  <c r="W6" i="60"/>
  <c r="T6" i="60"/>
  <c r="Q6" i="60"/>
  <c r="N6" i="60"/>
  <c r="K6" i="60"/>
  <c r="H6" i="60"/>
  <c r="E6" i="60"/>
  <c r="AO7" i="60" l="1"/>
  <c r="AO9" i="60"/>
  <c r="AO8" i="60"/>
  <c r="AO6" i="60"/>
  <c r="AO10" i="60"/>
  <c r="E10" i="60"/>
  <c r="W8" i="40" l="1"/>
  <c r="W7" i="40"/>
  <c r="W6" i="40"/>
  <c r="U8" i="39"/>
  <c r="V8" i="39"/>
  <c r="AM7" i="44" l="1"/>
  <c r="AM8" i="44"/>
  <c r="AM9" i="44"/>
  <c r="AM6" i="44"/>
  <c r="T7" i="44"/>
  <c r="T8" i="44"/>
  <c r="T9" i="44"/>
  <c r="T6" i="44"/>
  <c r="AM7" i="42"/>
  <c r="AM8" i="42"/>
  <c r="AM9" i="42"/>
  <c r="AM6" i="42"/>
  <c r="T9" i="42"/>
  <c r="T8" i="42"/>
  <c r="T7" i="42"/>
  <c r="T6" i="42"/>
  <c r="U10" i="36"/>
  <c r="W10" i="36" l="1"/>
  <c r="W7" i="36"/>
  <c r="W8" i="36"/>
  <c r="W9" i="36"/>
  <c r="W6" i="36"/>
  <c r="V10" i="36"/>
  <c r="W7" i="39" l="1"/>
  <c r="W8" i="39"/>
  <c r="W9" i="39"/>
  <c r="W6" i="39"/>
  <c r="V10" i="39"/>
  <c r="W10" i="39" s="1"/>
  <c r="U10" i="39"/>
  <c r="AM10" i="39"/>
  <c r="AM7" i="39"/>
  <c r="AM8" i="39"/>
  <c r="AM9" i="39"/>
  <c r="AM6" i="39"/>
  <c r="AM10" i="36"/>
  <c r="AM7" i="36"/>
  <c r="AM8" i="36"/>
  <c r="AM9" i="36"/>
  <c r="AM6" i="36"/>
  <c r="T10" i="36"/>
  <c r="T7" i="36"/>
  <c r="T8" i="36"/>
  <c r="T9" i="36"/>
  <c r="T6" i="36"/>
  <c r="W10" i="24"/>
  <c r="W7" i="24"/>
  <c r="W8" i="24"/>
  <c r="W9" i="24"/>
  <c r="W6" i="24"/>
  <c r="U10" i="35"/>
  <c r="T10" i="35"/>
  <c r="V7" i="35"/>
  <c r="V6" i="35"/>
  <c r="V10" i="35" l="1"/>
  <c r="AM8" i="30" l="1"/>
  <c r="AM9" i="30"/>
  <c r="AM6" i="30"/>
  <c r="T9" i="30"/>
  <c r="T8" i="30"/>
  <c r="T7" i="30"/>
  <c r="T6" i="30"/>
  <c r="R7" i="30"/>
  <c r="AM7" i="30" s="1"/>
  <c r="S7" i="30"/>
  <c r="P7" i="30"/>
  <c r="M7" i="30"/>
  <c r="J7" i="30"/>
  <c r="G7" i="30"/>
  <c r="D7" i="30"/>
  <c r="U9" i="24" l="1"/>
  <c r="U8" i="24"/>
  <c r="U7" i="24"/>
  <c r="U6" i="24"/>
  <c r="V10" i="24"/>
  <c r="U10" i="24" l="1"/>
  <c r="T10" i="45"/>
  <c r="T9" i="45"/>
  <c r="T8" i="45"/>
  <c r="T7" i="45"/>
  <c r="T6" i="45"/>
  <c r="W10" i="45"/>
  <c r="W9" i="45"/>
  <c r="W8" i="45"/>
  <c r="W7" i="45"/>
  <c r="W6" i="45"/>
  <c r="V10" i="45"/>
  <c r="U10" i="45"/>
  <c r="V10" i="49"/>
  <c r="U10" i="49"/>
  <c r="AI9" i="33"/>
  <c r="AI8" i="33"/>
  <c r="AI7" i="33"/>
  <c r="AI6" i="33"/>
  <c r="AF9" i="33"/>
  <c r="AF8" i="33"/>
  <c r="AF7" i="33"/>
  <c r="AF6" i="33"/>
  <c r="AC9" i="33"/>
  <c r="AC8" i="33"/>
  <c r="AC7" i="33"/>
  <c r="AC6" i="33"/>
  <c r="Z9" i="33"/>
  <c r="Z8" i="33"/>
  <c r="Z7" i="33"/>
  <c r="Z6" i="33"/>
  <c r="V10" i="59" l="1"/>
  <c r="W10" i="59" s="1"/>
  <c r="U10" i="59"/>
  <c r="S10" i="59"/>
  <c r="T10" i="59" s="1"/>
  <c r="R10" i="59"/>
  <c r="P10" i="59"/>
  <c r="Q10" i="59" s="1"/>
  <c r="O10" i="59"/>
  <c r="N10" i="59"/>
  <c r="M10" i="59"/>
  <c r="L10" i="59"/>
  <c r="J10" i="59"/>
  <c r="K10" i="59" s="1"/>
  <c r="I10" i="59"/>
  <c r="G10" i="59"/>
  <c r="AN10" i="59" s="1"/>
  <c r="F10" i="59"/>
  <c r="AM10" i="59" s="1"/>
  <c r="D10" i="59"/>
  <c r="E10" i="59" s="1"/>
  <c r="C10" i="59"/>
  <c r="AN9" i="59"/>
  <c r="AM9" i="59"/>
  <c r="W9" i="59"/>
  <c r="T9" i="59"/>
  <c r="Q9" i="59"/>
  <c r="N9" i="59"/>
  <c r="K9" i="59"/>
  <c r="H9" i="59"/>
  <c r="E9" i="59"/>
  <c r="AN8" i="59"/>
  <c r="AM8" i="59"/>
  <c r="W8" i="59"/>
  <c r="T8" i="59"/>
  <c r="Q8" i="59"/>
  <c r="N8" i="59"/>
  <c r="K8" i="59"/>
  <c r="H8" i="59"/>
  <c r="E8" i="59"/>
  <c r="AN7" i="59"/>
  <c r="AM7" i="59"/>
  <c r="W7" i="59"/>
  <c r="T7" i="59"/>
  <c r="Q7" i="59"/>
  <c r="N7" i="59"/>
  <c r="K7" i="59"/>
  <c r="H7" i="59"/>
  <c r="E7" i="59"/>
  <c r="AN6" i="59"/>
  <c r="AM6" i="59"/>
  <c r="W6" i="59"/>
  <c r="T6" i="59"/>
  <c r="Q6" i="59"/>
  <c r="N6" i="59"/>
  <c r="K6" i="59"/>
  <c r="H6" i="59"/>
  <c r="E6" i="59"/>
  <c r="AO9" i="59" l="1"/>
  <c r="AO7" i="59"/>
  <c r="AO6" i="59"/>
  <c r="AO8" i="59"/>
  <c r="AO10" i="59"/>
  <c r="H10" i="59"/>
  <c r="T9" i="34" l="1"/>
  <c r="T8" i="34"/>
  <c r="T7" i="34"/>
  <c r="T6" i="34"/>
  <c r="AH10" i="34"/>
  <c r="AG10" i="34"/>
  <c r="AE10" i="34"/>
  <c r="AF10" i="34" s="1"/>
  <c r="AB10" i="34"/>
  <c r="AA10" i="34"/>
  <c r="AC10" i="34" s="1"/>
  <c r="Y10" i="34"/>
  <c r="X10" i="34"/>
  <c r="Z10" i="34" s="1"/>
  <c r="V10" i="34"/>
  <c r="U10" i="34"/>
  <c r="S10" i="34"/>
  <c r="R10" i="34"/>
  <c r="P10" i="34"/>
  <c r="O10" i="34"/>
  <c r="M10" i="34"/>
  <c r="L10" i="34"/>
  <c r="J10" i="34"/>
  <c r="I10" i="34"/>
  <c r="G10" i="34"/>
  <c r="F10" i="34"/>
  <c r="D10" i="34"/>
  <c r="C10" i="34"/>
  <c r="AN9" i="34"/>
  <c r="AO9" i="34" s="1"/>
  <c r="Q9" i="34"/>
  <c r="N9" i="34"/>
  <c r="K9" i="34"/>
  <c r="H9" i="34"/>
  <c r="E9" i="34"/>
  <c r="AN8" i="34"/>
  <c r="Q8" i="34"/>
  <c r="N8" i="34"/>
  <c r="K8" i="34"/>
  <c r="H8" i="34"/>
  <c r="E8" i="34"/>
  <c r="AN6" i="34"/>
  <c r="AO6" i="34" s="1"/>
  <c r="Q6" i="34"/>
  <c r="N6" i="34"/>
  <c r="K6" i="34"/>
  <c r="H6" i="34"/>
  <c r="E6" i="34"/>
  <c r="U8" i="58"/>
  <c r="W9" i="58"/>
  <c r="W8" i="58"/>
  <c r="W6" i="58"/>
  <c r="V8" i="58"/>
  <c r="V10" i="58"/>
  <c r="U10" i="58"/>
  <c r="W10" i="58" s="1"/>
  <c r="AM6" i="51"/>
  <c r="S10" i="23"/>
  <c r="R10" i="23"/>
  <c r="T9" i="23"/>
  <c r="T8" i="23"/>
  <c r="T7" i="23"/>
  <c r="T6" i="23"/>
  <c r="AL10" i="55"/>
  <c r="AL9" i="55"/>
  <c r="AL8" i="55"/>
  <c r="AL7" i="55"/>
  <c r="AL6" i="55"/>
  <c r="AI10" i="55"/>
  <c r="AI9" i="55"/>
  <c r="AI8" i="55"/>
  <c r="AI7" i="55"/>
  <c r="AI6" i="55"/>
  <c r="AF10" i="55"/>
  <c r="AF9" i="55"/>
  <c r="AF8" i="55"/>
  <c r="AF7" i="55"/>
  <c r="AF6" i="55"/>
  <c r="AC10" i="55"/>
  <c r="AC9" i="55"/>
  <c r="AC8" i="55"/>
  <c r="AC7" i="55"/>
  <c r="AC6" i="55"/>
  <c r="Z10" i="55"/>
  <c r="Z9" i="55"/>
  <c r="Z8" i="55"/>
  <c r="Z7" i="55"/>
  <c r="Z6" i="55"/>
  <c r="W6" i="55"/>
  <c r="W7" i="55"/>
  <c r="W8" i="55"/>
  <c r="W9" i="55"/>
  <c r="W10" i="55"/>
  <c r="AE9" i="54"/>
  <c r="AD9" i="54"/>
  <c r="AB9" i="54"/>
  <c r="AA9" i="54"/>
  <c r="Y9" i="54"/>
  <c r="X9" i="54"/>
  <c r="V9" i="54"/>
  <c r="U9" i="54"/>
  <c r="W9" i="54"/>
  <c r="W8" i="54"/>
  <c r="W7" i="54"/>
  <c r="W6" i="54"/>
  <c r="AF9" i="54" l="1"/>
  <c r="Z9" i="54"/>
  <c r="AC9" i="54"/>
  <c r="AM9" i="54"/>
  <c r="T10" i="23"/>
  <c r="W10" i="34"/>
  <c r="T10" i="34"/>
  <c r="N10" i="34"/>
  <c r="K10" i="34"/>
  <c r="H10" i="34"/>
  <c r="AM10" i="34"/>
  <c r="AO8" i="34"/>
  <c r="E10" i="34"/>
  <c r="Q10" i="34"/>
  <c r="AN10" i="34"/>
  <c r="AN7" i="49"/>
  <c r="AN8" i="49"/>
  <c r="AN9" i="49"/>
  <c r="AM7" i="49"/>
  <c r="AM8" i="49"/>
  <c r="AM9" i="49"/>
  <c r="AM6" i="49"/>
  <c r="W7" i="49"/>
  <c r="W10" i="49"/>
  <c r="W9" i="49"/>
  <c r="W8" i="49"/>
  <c r="W6" i="49"/>
  <c r="T9" i="49"/>
  <c r="T8" i="49"/>
  <c r="T7" i="49"/>
  <c r="T6" i="49"/>
  <c r="AO10" i="34" l="1"/>
  <c r="W9" i="33"/>
  <c r="W8" i="33"/>
  <c r="W7" i="33"/>
  <c r="W6" i="33"/>
  <c r="R8" i="46" l="1"/>
  <c r="O8" i="46"/>
  <c r="L8" i="46"/>
  <c r="I8" i="46"/>
  <c r="F8" i="46"/>
  <c r="C8" i="46"/>
  <c r="U8" i="46"/>
  <c r="X8" i="46"/>
  <c r="AA8" i="46"/>
  <c r="AD8" i="46"/>
  <c r="AG8" i="46"/>
  <c r="AI8" i="46" s="1"/>
  <c r="AJ8" i="46"/>
  <c r="AK8" i="46"/>
  <c r="AH8" i="46"/>
  <c r="AE8" i="46"/>
  <c r="AB8" i="46"/>
  <c r="Y8" i="46"/>
  <c r="V8" i="46"/>
  <c r="S8" i="46"/>
  <c r="P8" i="46"/>
  <c r="M8" i="46"/>
  <c r="J8" i="46"/>
  <c r="G8" i="46"/>
  <c r="D8" i="46"/>
  <c r="AN7" i="46"/>
  <c r="AO7" i="46" s="1"/>
  <c r="T10" i="14"/>
  <c r="T6" i="14"/>
  <c r="AF8" i="46" l="1"/>
  <c r="Z8" i="46"/>
  <c r="AM8" i="46"/>
  <c r="AN8" i="46"/>
  <c r="R10" i="36"/>
  <c r="S10" i="36"/>
  <c r="T7" i="28" l="1"/>
  <c r="T8" i="28"/>
  <c r="T9" i="28"/>
  <c r="T6" i="28"/>
  <c r="AM10" i="58" l="1"/>
  <c r="AM7" i="58"/>
  <c r="AM8" i="58"/>
  <c r="AM9" i="58"/>
  <c r="AM6" i="58"/>
  <c r="N7" i="58"/>
  <c r="N8" i="58"/>
  <c r="N9" i="58"/>
  <c r="N6" i="58"/>
  <c r="S10" i="58"/>
  <c r="T10" i="58" s="1"/>
  <c r="R10" i="58"/>
  <c r="P10" i="58"/>
  <c r="O10" i="58"/>
  <c r="Q10" i="58" s="1"/>
  <c r="M10" i="58"/>
  <c r="N10" i="58" s="1"/>
  <c r="L10" i="58"/>
  <c r="K10" i="58"/>
  <c r="J10" i="58"/>
  <c r="I10" i="58"/>
  <c r="G10" i="58"/>
  <c r="H10" i="58" s="1"/>
  <c r="F10" i="58"/>
  <c r="D10" i="58"/>
  <c r="C10" i="58"/>
  <c r="AN9" i="58"/>
  <c r="T9" i="58"/>
  <c r="Q9" i="58"/>
  <c r="K9" i="58"/>
  <c r="H9" i="58"/>
  <c r="E9" i="58"/>
  <c r="AN8" i="58"/>
  <c r="T8" i="58"/>
  <c r="Q8" i="58"/>
  <c r="K8" i="58"/>
  <c r="H8" i="58"/>
  <c r="E8" i="58"/>
  <c r="AN7" i="58"/>
  <c r="T7" i="58"/>
  <c r="Q7" i="58"/>
  <c r="K7" i="58"/>
  <c r="H7" i="58"/>
  <c r="E7" i="58"/>
  <c r="AN6" i="58"/>
  <c r="T6" i="58"/>
  <c r="Q6" i="58"/>
  <c r="K6" i="58"/>
  <c r="H6" i="58"/>
  <c r="E6" i="58"/>
  <c r="AO9" i="58" l="1"/>
  <c r="AO7" i="58"/>
  <c r="AO6" i="58"/>
  <c r="AN10" i="58"/>
  <c r="AO10" i="58" s="1"/>
  <c r="AO8" i="58"/>
  <c r="E10" i="58"/>
  <c r="S9" i="38" l="1"/>
  <c r="S7" i="38"/>
  <c r="S8" i="38"/>
  <c r="S6" i="38"/>
  <c r="AM7" i="57"/>
  <c r="AM8" i="57"/>
  <c r="AM9" i="57"/>
  <c r="AM6" i="57"/>
  <c r="AH10" i="57"/>
  <c r="AG10" i="57"/>
  <c r="AE10" i="57"/>
  <c r="AD10" i="57"/>
  <c r="AB10" i="57"/>
  <c r="AA10" i="57"/>
  <c r="Y10" i="57"/>
  <c r="X10" i="57"/>
  <c r="V10" i="57"/>
  <c r="U10" i="57"/>
  <c r="S10" i="57"/>
  <c r="R10" i="57"/>
  <c r="T10" i="57" s="1"/>
  <c r="Q10" i="57"/>
  <c r="P10" i="57"/>
  <c r="O10" i="57"/>
  <c r="N10" i="57"/>
  <c r="M10" i="57"/>
  <c r="L10" i="57"/>
  <c r="J10" i="57"/>
  <c r="K10" i="57" s="1"/>
  <c r="I10" i="57"/>
  <c r="G10" i="57"/>
  <c r="F10" i="57"/>
  <c r="H10" i="57" s="1"/>
  <c r="E10" i="57"/>
  <c r="D10" i="57"/>
  <c r="C10" i="57"/>
  <c r="AN9" i="57"/>
  <c r="AI9" i="57"/>
  <c r="AF9" i="57"/>
  <c r="AC9" i="57"/>
  <c r="Z9" i="57"/>
  <c r="W9" i="57"/>
  <c r="T9" i="57"/>
  <c r="Q9" i="57"/>
  <c r="N9" i="57"/>
  <c r="K9" i="57"/>
  <c r="H9" i="57"/>
  <c r="E9" i="57"/>
  <c r="AN8" i="57"/>
  <c r="AI8" i="57"/>
  <c r="AF8" i="57"/>
  <c r="AC8" i="57"/>
  <c r="Z8" i="57"/>
  <c r="W8" i="57"/>
  <c r="T8" i="57"/>
  <c r="Q8" i="57"/>
  <c r="N8" i="57"/>
  <c r="K8" i="57"/>
  <c r="H8" i="57"/>
  <c r="E8" i="57"/>
  <c r="AN7" i="57"/>
  <c r="AI7" i="57"/>
  <c r="AF7" i="57"/>
  <c r="AC7" i="57"/>
  <c r="Z7" i="57"/>
  <c r="W7" i="57"/>
  <c r="T7" i="57"/>
  <c r="Q7" i="57"/>
  <c r="N7" i="57"/>
  <c r="K7" i="57"/>
  <c r="H7" i="57"/>
  <c r="E7" i="57"/>
  <c r="AN6" i="57"/>
  <c r="AI6" i="57"/>
  <c r="AF6" i="57"/>
  <c r="Z6" i="57"/>
  <c r="W6" i="57"/>
  <c r="T6" i="57"/>
  <c r="Q6" i="57"/>
  <c r="N6" i="57"/>
  <c r="K6" i="57"/>
  <c r="H6" i="57"/>
  <c r="E6" i="57"/>
  <c r="AI10" i="57" l="1"/>
  <c r="AF10" i="57"/>
  <c r="AC10" i="57"/>
  <c r="Z10" i="57"/>
  <c r="AM10" i="57"/>
  <c r="AO9" i="57"/>
  <c r="W10" i="57"/>
  <c r="AO8" i="57"/>
  <c r="AN10" i="57"/>
  <c r="AO7" i="57"/>
  <c r="AO6" i="57"/>
  <c r="AO10" i="57" l="1"/>
  <c r="AM7" i="40"/>
  <c r="AM8" i="40"/>
  <c r="AM9" i="40"/>
  <c r="AM6" i="40"/>
  <c r="AM7" i="23"/>
  <c r="AM8" i="23"/>
  <c r="AM9" i="23"/>
  <c r="AM6" i="23"/>
  <c r="AM7" i="33" l="1"/>
  <c r="AM8" i="33"/>
  <c r="AM9" i="33"/>
  <c r="AM6" i="33"/>
  <c r="T7" i="33"/>
  <c r="T8" i="33"/>
  <c r="T9" i="33"/>
  <c r="T6" i="33"/>
  <c r="S10" i="55" l="1"/>
  <c r="R10" i="55"/>
  <c r="AM10" i="55" s="1"/>
  <c r="P10" i="55"/>
  <c r="O10" i="55"/>
  <c r="M10" i="55"/>
  <c r="L10" i="55"/>
  <c r="J10" i="55"/>
  <c r="I10" i="55"/>
  <c r="G10" i="55"/>
  <c r="F10" i="55"/>
  <c r="D10" i="55"/>
  <c r="C10" i="55"/>
  <c r="AN9" i="55"/>
  <c r="Q9" i="55"/>
  <c r="N9" i="55"/>
  <c r="K9" i="55"/>
  <c r="H9" i="55"/>
  <c r="E9" i="55"/>
  <c r="AN8" i="55"/>
  <c r="Q8" i="55"/>
  <c r="N8" i="55"/>
  <c r="K8" i="55"/>
  <c r="H8" i="55"/>
  <c r="E8" i="55"/>
  <c r="AN7" i="55"/>
  <c r="T7" i="55"/>
  <c r="Q7" i="55"/>
  <c r="N7" i="55"/>
  <c r="K7" i="55"/>
  <c r="H7" i="55"/>
  <c r="E7" i="55"/>
  <c r="AN6" i="55"/>
  <c r="T6" i="55"/>
  <c r="Q6" i="55"/>
  <c r="N6" i="55"/>
  <c r="K6" i="55"/>
  <c r="H6" i="55"/>
  <c r="E6" i="55"/>
  <c r="S9" i="54"/>
  <c r="R9" i="54"/>
  <c r="P9" i="54"/>
  <c r="O9" i="54"/>
  <c r="M9" i="54"/>
  <c r="L9" i="54"/>
  <c r="J9" i="54"/>
  <c r="I9" i="54"/>
  <c r="G9" i="54"/>
  <c r="H9" i="54" s="1"/>
  <c r="F9" i="54"/>
  <c r="D9" i="54"/>
  <c r="C9" i="54"/>
  <c r="AN8" i="54"/>
  <c r="T8" i="54"/>
  <c r="Q8" i="54"/>
  <c r="N8" i="54"/>
  <c r="K8" i="54"/>
  <c r="H8" i="54"/>
  <c r="E8" i="54"/>
  <c r="AN7" i="54"/>
  <c r="T7" i="54"/>
  <c r="Q7" i="54"/>
  <c r="N7" i="54"/>
  <c r="K7" i="54"/>
  <c r="H7" i="54"/>
  <c r="E7" i="54"/>
  <c r="AN6" i="54"/>
  <c r="T6" i="54"/>
  <c r="Q6" i="54"/>
  <c r="N6" i="54"/>
  <c r="K6" i="54"/>
  <c r="H6" i="54"/>
  <c r="E6" i="54"/>
  <c r="S10" i="51"/>
  <c r="R10" i="51"/>
  <c r="P10" i="51"/>
  <c r="O10" i="51"/>
  <c r="M10" i="51"/>
  <c r="N10" i="51" s="1"/>
  <c r="L10" i="51"/>
  <c r="J10" i="51"/>
  <c r="I10" i="51"/>
  <c r="G10" i="51"/>
  <c r="F10" i="51"/>
  <c r="D10" i="51"/>
  <c r="C10" i="51"/>
  <c r="AN9" i="51"/>
  <c r="Q9" i="51"/>
  <c r="N9" i="51"/>
  <c r="K9" i="51"/>
  <c r="H9" i="51"/>
  <c r="E9" i="51"/>
  <c r="AN8" i="51"/>
  <c r="Q8" i="51"/>
  <c r="N8" i="51"/>
  <c r="K8" i="51"/>
  <c r="H8" i="51"/>
  <c r="E8" i="51"/>
  <c r="AN7" i="51"/>
  <c r="Q7" i="51"/>
  <c r="N7" i="51"/>
  <c r="K7" i="51"/>
  <c r="H7" i="51"/>
  <c r="E7" i="51"/>
  <c r="AN6" i="51"/>
  <c r="Q6" i="51"/>
  <c r="N6" i="51"/>
  <c r="K6" i="51"/>
  <c r="H6" i="51"/>
  <c r="E6" i="51"/>
  <c r="S10" i="49"/>
  <c r="R10" i="49"/>
  <c r="P10" i="49"/>
  <c r="O10" i="49"/>
  <c r="M10" i="49"/>
  <c r="L10" i="49"/>
  <c r="J10" i="49"/>
  <c r="I10" i="49"/>
  <c r="G10" i="49"/>
  <c r="F10" i="49"/>
  <c r="H10" i="49" s="1"/>
  <c r="D10" i="49"/>
  <c r="C10" i="49"/>
  <c r="AM10" i="49" s="1"/>
  <c r="Q9" i="49"/>
  <c r="N9" i="49"/>
  <c r="K9" i="49"/>
  <c r="H9" i="49"/>
  <c r="E9" i="49"/>
  <c r="Q8" i="49"/>
  <c r="N8" i="49"/>
  <c r="K8" i="49"/>
  <c r="H8" i="49"/>
  <c r="E8" i="49"/>
  <c r="Q7" i="49"/>
  <c r="N7" i="49"/>
  <c r="K7" i="49"/>
  <c r="H7" i="49"/>
  <c r="E7" i="49"/>
  <c r="AN6" i="49"/>
  <c r="Q6" i="49"/>
  <c r="N6" i="49"/>
  <c r="K6" i="49"/>
  <c r="H6" i="49"/>
  <c r="E6" i="49"/>
  <c r="S10" i="48"/>
  <c r="R10" i="48"/>
  <c r="P10" i="48"/>
  <c r="O10" i="48"/>
  <c r="M10" i="48"/>
  <c r="L10" i="48"/>
  <c r="J10" i="48"/>
  <c r="I10" i="48"/>
  <c r="G10" i="48"/>
  <c r="F10" i="48"/>
  <c r="D10" i="48"/>
  <c r="C10" i="48"/>
  <c r="AN9" i="48"/>
  <c r="T9" i="48"/>
  <c r="Q9" i="48"/>
  <c r="N9" i="48"/>
  <c r="K9" i="48"/>
  <c r="H9" i="48"/>
  <c r="E9" i="48"/>
  <c r="AN8" i="48"/>
  <c r="T8" i="48"/>
  <c r="Q8" i="48"/>
  <c r="N8" i="48"/>
  <c r="K8" i="48"/>
  <c r="H8" i="48"/>
  <c r="E8" i="48"/>
  <c r="AN7" i="48"/>
  <c r="T7" i="48"/>
  <c r="Q7" i="48"/>
  <c r="N7" i="48"/>
  <c r="K7" i="48"/>
  <c r="H7" i="48"/>
  <c r="E7" i="48"/>
  <c r="AN6" i="48"/>
  <c r="Q6" i="48"/>
  <c r="N6" i="48"/>
  <c r="K6" i="48"/>
  <c r="H6" i="48"/>
  <c r="E6" i="48"/>
  <c r="S8" i="47"/>
  <c r="R8" i="47"/>
  <c r="P8" i="47"/>
  <c r="O8" i="47"/>
  <c r="M8" i="47"/>
  <c r="L8" i="47"/>
  <c r="J8" i="47"/>
  <c r="I8" i="47"/>
  <c r="G8" i="47"/>
  <c r="F8" i="47"/>
  <c r="D8" i="47"/>
  <c r="C8" i="47"/>
  <c r="AN7" i="47"/>
  <c r="AO7" i="47" s="1"/>
  <c r="T7" i="47"/>
  <c r="Q7" i="47"/>
  <c r="N7" i="47"/>
  <c r="K7" i="47"/>
  <c r="H7" i="47"/>
  <c r="E7" i="47"/>
  <c r="AN6" i="47"/>
  <c r="AO6" i="47" s="1"/>
  <c r="T6" i="47"/>
  <c r="Q6" i="47"/>
  <c r="N6" i="47"/>
  <c r="K6" i="47"/>
  <c r="H6" i="47"/>
  <c r="E6" i="47"/>
  <c r="AN6" i="46"/>
  <c r="T6" i="46"/>
  <c r="Q6" i="46"/>
  <c r="N6" i="46"/>
  <c r="K6" i="46"/>
  <c r="H6" i="46"/>
  <c r="E6" i="46"/>
  <c r="S10" i="45"/>
  <c r="R10" i="45"/>
  <c r="P10" i="45"/>
  <c r="O10" i="45"/>
  <c r="M10" i="45"/>
  <c r="L10" i="45"/>
  <c r="J10" i="45"/>
  <c r="I10" i="45"/>
  <c r="G10" i="45"/>
  <c r="F10" i="45"/>
  <c r="D10" i="45"/>
  <c r="C10" i="45"/>
  <c r="AN9" i="45"/>
  <c r="Q9" i="45"/>
  <c r="N9" i="45"/>
  <c r="K9" i="45"/>
  <c r="H9" i="45"/>
  <c r="E9" i="45"/>
  <c r="AN8" i="45"/>
  <c r="Q8" i="45"/>
  <c r="N8" i="45"/>
  <c r="K8" i="45"/>
  <c r="H8" i="45"/>
  <c r="E8" i="45"/>
  <c r="AN7" i="45"/>
  <c r="Q7" i="45"/>
  <c r="N7" i="45"/>
  <c r="K7" i="45"/>
  <c r="H7" i="45"/>
  <c r="E7" i="45"/>
  <c r="AN6" i="45"/>
  <c r="Q6" i="45"/>
  <c r="N6" i="45"/>
  <c r="K6" i="45"/>
  <c r="H6" i="45"/>
  <c r="E6" i="45"/>
  <c r="S10" i="44"/>
  <c r="R10" i="44"/>
  <c r="P10" i="44"/>
  <c r="O10" i="44"/>
  <c r="M10" i="44"/>
  <c r="L10" i="44"/>
  <c r="N10" i="44" s="1"/>
  <c r="J10" i="44"/>
  <c r="I10" i="44"/>
  <c r="G10" i="44"/>
  <c r="F10" i="44"/>
  <c r="D10" i="44"/>
  <c r="C10" i="44"/>
  <c r="AN9" i="44"/>
  <c r="Q9" i="44"/>
  <c r="N9" i="44"/>
  <c r="K9" i="44"/>
  <c r="H9" i="44"/>
  <c r="E9" i="44"/>
  <c r="AN8" i="44"/>
  <c r="Q8" i="44"/>
  <c r="N8" i="44"/>
  <c r="K8" i="44"/>
  <c r="H8" i="44"/>
  <c r="E8" i="44"/>
  <c r="AN7" i="44"/>
  <c r="Q7" i="44"/>
  <c r="N7" i="44"/>
  <c r="K7" i="44"/>
  <c r="H7" i="44"/>
  <c r="E7" i="44"/>
  <c r="AN6" i="44"/>
  <c r="Q6" i="44"/>
  <c r="N6" i="44"/>
  <c r="K6" i="44"/>
  <c r="H6" i="44"/>
  <c r="E6" i="44"/>
  <c r="S10" i="42"/>
  <c r="R10" i="42"/>
  <c r="P10" i="42"/>
  <c r="O10" i="42"/>
  <c r="M10" i="42"/>
  <c r="L10" i="42"/>
  <c r="J10" i="42"/>
  <c r="I10" i="42"/>
  <c r="G10" i="42"/>
  <c r="F10" i="42"/>
  <c r="D10" i="42"/>
  <c r="C10" i="42"/>
  <c r="AN9" i="42"/>
  <c r="Q9" i="42"/>
  <c r="N9" i="42"/>
  <c r="K9" i="42"/>
  <c r="H9" i="42"/>
  <c r="E9" i="42"/>
  <c r="AN8" i="42"/>
  <c r="Q8" i="42"/>
  <c r="N8" i="42"/>
  <c r="K8" i="42"/>
  <c r="H8" i="42"/>
  <c r="E8" i="42"/>
  <c r="AN7" i="42"/>
  <c r="Q7" i="42"/>
  <c r="N7" i="42"/>
  <c r="K7" i="42"/>
  <c r="H7" i="42"/>
  <c r="E7" i="42"/>
  <c r="AN6" i="42"/>
  <c r="Q6" i="42"/>
  <c r="N6" i="42"/>
  <c r="K6" i="42"/>
  <c r="H6" i="42"/>
  <c r="E6" i="42"/>
  <c r="S10" i="40"/>
  <c r="R10" i="40"/>
  <c r="P10" i="40"/>
  <c r="O10" i="40"/>
  <c r="M10" i="40"/>
  <c r="L10" i="40"/>
  <c r="J10" i="40"/>
  <c r="I10" i="40"/>
  <c r="G10" i="40"/>
  <c r="F10" i="40"/>
  <c r="D10" i="40"/>
  <c r="C10" i="40"/>
  <c r="AN9" i="40"/>
  <c r="T9" i="40"/>
  <c r="Q9" i="40"/>
  <c r="N9" i="40"/>
  <c r="K9" i="40"/>
  <c r="H9" i="40"/>
  <c r="E9" i="40"/>
  <c r="AN8" i="40"/>
  <c r="T8" i="40"/>
  <c r="Q8" i="40"/>
  <c r="N8" i="40"/>
  <c r="K8" i="40"/>
  <c r="H8" i="40"/>
  <c r="E8" i="40"/>
  <c r="AN7" i="40"/>
  <c r="T7" i="40"/>
  <c r="Q7" i="40"/>
  <c r="N7" i="40"/>
  <c r="K7" i="40"/>
  <c r="H7" i="40"/>
  <c r="E7" i="40"/>
  <c r="AN6" i="40"/>
  <c r="T6" i="40"/>
  <c r="Q6" i="40"/>
  <c r="N6" i="40"/>
  <c r="K6" i="40"/>
  <c r="H6" i="40"/>
  <c r="E6" i="40"/>
  <c r="Q10" i="49" l="1"/>
  <c r="AN10" i="49"/>
  <c r="K10" i="49"/>
  <c r="Q8" i="47"/>
  <c r="N8" i="47"/>
  <c r="T8" i="47"/>
  <c r="K8" i="47"/>
  <c r="AM8" i="47"/>
  <c r="E8" i="47"/>
  <c r="AN8" i="47"/>
  <c r="T10" i="44"/>
  <c r="AM10" i="44"/>
  <c r="T10" i="51"/>
  <c r="AO6" i="44"/>
  <c r="AM10" i="42"/>
  <c r="T10" i="42"/>
  <c r="AO7" i="45"/>
  <c r="T10" i="40"/>
  <c r="T10" i="49"/>
  <c r="T10" i="48"/>
  <c r="N8" i="46"/>
  <c r="E8" i="46"/>
  <c r="Q8" i="46"/>
  <c r="T8" i="46"/>
  <c r="K8" i="46"/>
  <c r="AO6" i="46"/>
  <c r="T9" i="54"/>
  <c r="Q9" i="54"/>
  <c r="K9" i="54"/>
  <c r="AN9" i="54"/>
  <c r="N9" i="54"/>
  <c r="AO6" i="54"/>
  <c r="AO7" i="54"/>
  <c r="AO8" i="54"/>
  <c r="T10" i="55"/>
  <c r="Q10" i="55"/>
  <c r="N10" i="55"/>
  <c r="K10" i="55"/>
  <c r="AO9" i="55"/>
  <c r="AN10" i="55"/>
  <c r="AO8" i="55"/>
  <c r="AO7" i="55"/>
  <c r="Q10" i="51"/>
  <c r="AO9" i="51"/>
  <c r="K10" i="51"/>
  <c r="AO8" i="51"/>
  <c r="AO7" i="51"/>
  <c r="N10" i="49"/>
  <c r="AO7" i="49"/>
  <c r="AO6" i="49"/>
  <c r="AO9" i="49"/>
  <c r="AO8" i="49"/>
  <c r="Q10" i="48"/>
  <c r="AO9" i="48"/>
  <c r="N10" i="48"/>
  <c r="AN10" i="48"/>
  <c r="K10" i="48"/>
  <c r="AO7" i="48"/>
  <c r="H10" i="48"/>
  <c r="AO8" i="48"/>
  <c r="Q10" i="45"/>
  <c r="N10" i="45"/>
  <c r="K10" i="45"/>
  <c r="AO8" i="45"/>
  <c r="H10" i="45"/>
  <c r="AN10" i="45"/>
  <c r="AO9" i="45"/>
  <c r="Q10" i="44"/>
  <c r="AN10" i="44"/>
  <c r="K10" i="44"/>
  <c r="AO7" i="44"/>
  <c r="H10" i="44"/>
  <c r="AO9" i="44"/>
  <c r="AO8" i="44"/>
  <c r="Q10" i="42"/>
  <c r="AO6" i="42"/>
  <c r="N10" i="42"/>
  <c r="AN10" i="42"/>
  <c r="K10" i="42"/>
  <c r="H10" i="42"/>
  <c r="AO9" i="42"/>
  <c r="AO8" i="42"/>
  <c r="AO7" i="42"/>
  <c r="E10" i="55"/>
  <c r="AO6" i="55"/>
  <c r="AN10" i="51"/>
  <c r="E10" i="51"/>
  <c r="AO6" i="51"/>
  <c r="AO6" i="48"/>
  <c r="AO6" i="45"/>
  <c r="AO9" i="40"/>
  <c r="AO8" i="40"/>
  <c r="Q10" i="40"/>
  <c r="N10" i="40"/>
  <c r="K10" i="40"/>
  <c r="H10" i="40"/>
  <c r="AO7" i="40"/>
  <c r="AO6" i="40"/>
  <c r="AN10" i="40"/>
  <c r="H10" i="55"/>
  <c r="E9" i="54"/>
  <c r="H10" i="51"/>
  <c r="E10" i="49"/>
  <c r="E10" i="48"/>
  <c r="H8" i="47"/>
  <c r="H8" i="46"/>
  <c r="E10" i="45"/>
  <c r="E10" i="44"/>
  <c r="E10" i="42"/>
  <c r="E10" i="40"/>
  <c r="AO8" i="47" l="1"/>
  <c r="AO10" i="44"/>
  <c r="AO8" i="46"/>
  <c r="AO9" i="54"/>
  <c r="AO10" i="55"/>
  <c r="AO10" i="51"/>
  <c r="AO10" i="49"/>
  <c r="AO10" i="45"/>
  <c r="AO10" i="42"/>
  <c r="AO10" i="40"/>
  <c r="AM7" i="24"/>
  <c r="AM8" i="24"/>
  <c r="AM9" i="24"/>
  <c r="AM10" i="24"/>
  <c r="AM6" i="24"/>
  <c r="N7" i="24"/>
  <c r="N8" i="24"/>
  <c r="N9" i="24"/>
  <c r="N10" i="24"/>
  <c r="N6" i="24"/>
  <c r="Q7" i="24"/>
  <c r="Q8" i="24"/>
  <c r="Q9" i="24"/>
  <c r="Q10" i="24"/>
  <c r="O10" i="24"/>
  <c r="T7" i="24"/>
  <c r="T8" i="24"/>
  <c r="T9" i="24"/>
  <c r="T10" i="24"/>
  <c r="T6" i="24"/>
  <c r="Q6" i="24"/>
  <c r="R10" i="24"/>
  <c r="S10" i="24"/>
  <c r="P10" i="24"/>
  <c r="R10" i="35"/>
  <c r="Q10" i="35"/>
  <c r="S7" i="35"/>
  <c r="S6" i="35"/>
  <c r="S10" i="35" l="1"/>
  <c r="Q7" i="28"/>
  <c r="Q8" i="28"/>
  <c r="Q9" i="28"/>
  <c r="Q6" i="28"/>
  <c r="N7" i="28"/>
  <c r="N8" i="28"/>
  <c r="N9" i="28"/>
  <c r="N6" i="28"/>
  <c r="T10" i="39"/>
  <c r="T7" i="39"/>
  <c r="T8" i="39"/>
  <c r="T9" i="39"/>
  <c r="T6" i="39"/>
  <c r="S10" i="39"/>
  <c r="R10" i="39"/>
  <c r="P10" i="39"/>
  <c r="O10" i="39"/>
  <c r="Q10" i="39" s="1"/>
  <c r="M10" i="39"/>
  <c r="L10" i="39"/>
  <c r="J10" i="39"/>
  <c r="I10" i="39"/>
  <c r="G10" i="39"/>
  <c r="F10" i="39"/>
  <c r="D10" i="39"/>
  <c r="C10" i="39"/>
  <c r="AN9" i="39"/>
  <c r="Q9" i="39"/>
  <c r="N9" i="39"/>
  <c r="K9" i="39"/>
  <c r="H9" i="39"/>
  <c r="E9" i="39"/>
  <c r="AN8" i="39"/>
  <c r="Q8" i="39"/>
  <c r="N8" i="39"/>
  <c r="K8" i="39"/>
  <c r="H8" i="39"/>
  <c r="E8" i="39"/>
  <c r="AN7" i="39"/>
  <c r="Q7" i="39"/>
  <c r="N7" i="39"/>
  <c r="K7" i="39"/>
  <c r="H7" i="39"/>
  <c r="E7" i="39"/>
  <c r="AN6" i="39"/>
  <c r="Q6" i="39"/>
  <c r="N6" i="39"/>
  <c r="K6" i="39"/>
  <c r="H6" i="39"/>
  <c r="E6" i="39"/>
  <c r="E10" i="39" l="1"/>
  <c r="K10" i="39"/>
  <c r="N10" i="39"/>
  <c r="AO6" i="39"/>
  <c r="H10" i="39"/>
  <c r="AO9" i="39"/>
  <c r="AO8" i="39"/>
  <c r="AO7" i="39"/>
  <c r="AN10" i="39"/>
  <c r="AM7" i="38"/>
  <c r="AN8" i="38"/>
  <c r="AM8" i="38"/>
  <c r="Q7" i="23"/>
  <c r="Q6" i="23"/>
  <c r="N7" i="23"/>
  <c r="N6" i="23"/>
  <c r="Q9" i="23"/>
  <c r="Q8" i="23"/>
  <c r="N9" i="23"/>
  <c r="N8" i="23"/>
  <c r="O9" i="38"/>
  <c r="P9" i="38" s="1"/>
  <c r="N9" i="38"/>
  <c r="L9" i="38"/>
  <c r="M9" i="38" s="1"/>
  <c r="K9" i="38"/>
  <c r="I9" i="38"/>
  <c r="H9" i="38"/>
  <c r="F9" i="38"/>
  <c r="E9" i="38"/>
  <c r="C9" i="38"/>
  <c r="B9" i="38"/>
  <c r="AL9" i="38" s="1"/>
  <c r="P8" i="38"/>
  <c r="M8" i="38"/>
  <c r="J8" i="38"/>
  <c r="G8" i="38"/>
  <c r="D8" i="38"/>
  <c r="AN7" i="38"/>
  <c r="P7" i="38"/>
  <c r="M7" i="38"/>
  <c r="J7" i="38"/>
  <c r="G7" i="38"/>
  <c r="D7" i="38"/>
  <c r="AN6" i="38"/>
  <c r="P6" i="38"/>
  <c r="M6" i="38"/>
  <c r="J6" i="38"/>
  <c r="G6" i="38"/>
  <c r="D6" i="38"/>
  <c r="Q10" i="36"/>
  <c r="P10" i="36"/>
  <c r="O10" i="36"/>
  <c r="M10" i="36"/>
  <c r="N10" i="36" s="1"/>
  <c r="L10" i="36"/>
  <c r="J10" i="36"/>
  <c r="K10" i="36" s="1"/>
  <c r="I10" i="36"/>
  <c r="G10" i="36"/>
  <c r="H10" i="36" s="1"/>
  <c r="F10" i="36"/>
  <c r="D10" i="36"/>
  <c r="AN10" i="36" s="1"/>
  <c r="C10" i="36"/>
  <c r="AN9" i="36"/>
  <c r="Q9" i="36"/>
  <c r="N9" i="36"/>
  <c r="K9" i="36"/>
  <c r="H9" i="36"/>
  <c r="E9" i="36"/>
  <c r="AN8" i="36"/>
  <c r="Q8" i="36"/>
  <c r="N8" i="36"/>
  <c r="K8" i="36"/>
  <c r="H8" i="36"/>
  <c r="E8" i="36"/>
  <c r="AN7" i="36"/>
  <c r="Q7" i="36"/>
  <c r="N7" i="36"/>
  <c r="K7" i="36"/>
  <c r="H7" i="36"/>
  <c r="E7" i="36"/>
  <c r="AN6" i="36"/>
  <c r="Q6" i="36"/>
  <c r="N6" i="36"/>
  <c r="K6" i="36"/>
  <c r="H6" i="36"/>
  <c r="E6" i="36"/>
  <c r="D6" i="35"/>
  <c r="G6" i="35"/>
  <c r="J6" i="35"/>
  <c r="M6" i="35"/>
  <c r="P6" i="35"/>
  <c r="AL6" i="35"/>
  <c r="AM6" i="35"/>
  <c r="D7" i="35"/>
  <c r="G7" i="35"/>
  <c r="J7" i="35"/>
  <c r="M7" i="35"/>
  <c r="P7" i="35"/>
  <c r="AL7" i="35"/>
  <c r="AM7" i="35"/>
  <c r="B10" i="35"/>
  <c r="C10" i="35"/>
  <c r="E10" i="35"/>
  <c r="F10" i="35"/>
  <c r="H10" i="35"/>
  <c r="I10" i="35"/>
  <c r="K10" i="35"/>
  <c r="L10" i="35"/>
  <c r="M10" i="35" s="1"/>
  <c r="N10" i="35"/>
  <c r="O10" i="35"/>
  <c r="D9" i="38" l="1"/>
  <c r="J9" i="38"/>
  <c r="G10" i="35"/>
  <c r="AL10" i="35"/>
  <c r="D10" i="35"/>
  <c r="P10" i="35"/>
  <c r="J10" i="35"/>
  <c r="AO9" i="36"/>
  <c r="AO7" i="36"/>
  <c r="AO8" i="36"/>
  <c r="AO6" i="36"/>
  <c r="E10" i="36"/>
  <c r="AM9" i="38"/>
  <c r="AN9" i="38" s="1"/>
  <c r="AN7" i="35"/>
  <c r="AN6" i="35"/>
  <c r="AO10" i="39"/>
  <c r="G9" i="38"/>
  <c r="AO10" i="36"/>
  <c r="AM10" i="35"/>
  <c r="AN10" i="35" l="1"/>
  <c r="AH10" i="33"/>
  <c r="AG10" i="33"/>
  <c r="AE10" i="33"/>
  <c r="AD10" i="33"/>
  <c r="AB10" i="33"/>
  <c r="AA10" i="33"/>
  <c r="Y10" i="33"/>
  <c r="X10" i="33"/>
  <c r="V10" i="33"/>
  <c r="U10" i="33"/>
  <c r="S10" i="33"/>
  <c r="R10" i="33"/>
  <c r="T10" i="33" s="1"/>
  <c r="P10" i="33"/>
  <c r="Q10" i="33" s="1"/>
  <c r="O10" i="33"/>
  <c r="M10" i="33"/>
  <c r="N10" i="33" s="1"/>
  <c r="L10" i="33"/>
  <c r="J10" i="33"/>
  <c r="I10" i="33"/>
  <c r="G10" i="33"/>
  <c r="H10" i="33" s="1"/>
  <c r="F10" i="33"/>
  <c r="D10" i="33"/>
  <c r="E10" i="33" s="1"/>
  <c r="C10" i="33"/>
  <c r="AN9" i="33"/>
  <c r="Q9" i="33"/>
  <c r="N9" i="33"/>
  <c r="K9" i="33"/>
  <c r="H9" i="33"/>
  <c r="E9" i="33"/>
  <c r="AN8" i="33"/>
  <c r="Q8" i="33"/>
  <c r="N8" i="33"/>
  <c r="K8" i="33"/>
  <c r="H8" i="33"/>
  <c r="E8" i="33"/>
  <c r="AN7" i="33"/>
  <c r="Q7" i="33"/>
  <c r="N7" i="33"/>
  <c r="K7" i="33"/>
  <c r="H7" i="33"/>
  <c r="E7" i="33"/>
  <c r="AN6" i="33"/>
  <c r="Q6" i="33"/>
  <c r="N6" i="33"/>
  <c r="K6" i="33"/>
  <c r="H6" i="33"/>
  <c r="E6" i="33"/>
  <c r="AH10" i="32"/>
  <c r="AG10" i="32"/>
  <c r="AE10" i="32"/>
  <c r="AD10" i="32"/>
  <c r="AB10" i="32"/>
  <c r="AA10" i="32"/>
  <c r="Y10" i="32"/>
  <c r="X10" i="32"/>
  <c r="V10" i="32"/>
  <c r="W10" i="32" s="1"/>
  <c r="S10" i="32"/>
  <c r="T10" i="32" s="1"/>
  <c r="R10" i="32"/>
  <c r="P10" i="32"/>
  <c r="O10" i="32"/>
  <c r="M10" i="32"/>
  <c r="L10" i="32"/>
  <c r="J10" i="32"/>
  <c r="I10" i="32"/>
  <c r="G10" i="32"/>
  <c r="F10" i="32"/>
  <c r="D10" i="32"/>
  <c r="C10" i="32"/>
  <c r="AN9" i="32"/>
  <c r="Q9" i="32"/>
  <c r="N9" i="32"/>
  <c r="K9" i="32"/>
  <c r="H9" i="32"/>
  <c r="E9" i="32"/>
  <c r="AN8" i="32"/>
  <c r="Q8" i="32"/>
  <c r="N8" i="32"/>
  <c r="K8" i="32"/>
  <c r="H8" i="32"/>
  <c r="E8" i="32"/>
  <c r="AN7" i="32"/>
  <c r="Q7" i="32"/>
  <c r="N7" i="32"/>
  <c r="K7" i="32"/>
  <c r="H7" i="32"/>
  <c r="E7" i="32"/>
  <c r="AN6" i="32"/>
  <c r="Q6" i="32"/>
  <c r="N6" i="32"/>
  <c r="K6" i="32"/>
  <c r="H6" i="32"/>
  <c r="E6" i="32"/>
  <c r="AH10" i="30"/>
  <c r="AG10" i="30"/>
  <c r="AI10" i="30" s="1"/>
  <c r="AE10" i="30"/>
  <c r="AD10" i="30"/>
  <c r="AF10" i="30" s="1"/>
  <c r="AB10" i="30"/>
  <c r="AA10" i="30"/>
  <c r="Y10" i="30"/>
  <c r="X10" i="30"/>
  <c r="Z10" i="30" s="1"/>
  <c r="V10" i="30"/>
  <c r="U10" i="30"/>
  <c r="S10" i="30"/>
  <c r="T10" i="30" s="1"/>
  <c r="R10" i="30"/>
  <c r="P10" i="30"/>
  <c r="O10" i="30"/>
  <c r="M10" i="30"/>
  <c r="L10" i="30"/>
  <c r="J10" i="30"/>
  <c r="I10" i="30"/>
  <c r="G10" i="30"/>
  <c r="F10" i="30"/>
  <c r="D10" i="30"/>
  <c r="C10" i="30"/>
  <c r="AN9" i="30"/>
  <c r="Q9" i="30"/>
  <c r="N9" i="30"/>
  <c r="K9" i="30"/>
  <c r="H9" i="30"/>
  <c r="E9" i="30"/>
  <c r="AN8" i="30"/>
  <c r="Q8" i="30"/>
  <c r="N8" i="30"/>
  <c r="K8" i="30"/>
  <c r="H8" i="30"/>
  <c r="E8" i="30"/>
  <c r="AN7" i="30"/>
  <c r="Q7" i="30"/>
  <c r="N7" i="30"/>
  <c r="K7" i="30"/>
  <c r="H7" i="30"/>
  <c r="E7" i="30"/>
  <c r="AN6" i="30"/>
  <c r="Q6" i="30"/>
  <c r="N6" i="30"/>
  <c r="K6" i="30"/>
  <c r="H6" i="30"/>
  <c r="E6" i="30"/>
  <c r="AK10" i="28"/>
  <c r="AJ10" i="28"/>
  <c r="AH10" i="28"/>
  <c r="AG10" i="28"/>
  <c r="AE10" i="28"/>
  <c r="AD10" i="28"/>
  <c r="AF10" i="28" s="1"/>
  <c r="AB10" i="28"/>
  <c r="AA10" i="28"/>
  <c r="AC10" i="28" s="1"/>
  <c r="Y10" i="28"/>
  <c r="X10" i="28"/>
  <c r="V10" i="28"/>
  <c r="U10" i="28"/>
  <c r="S10" i="28"/>
  <c r="T10" i="28" s="1"/>
  <c r="R10" i="28"/>
  <c r="P10" i="28"/>
  <c r="O10" i="28"/>
  <c r="M10" i="28"/>
  <c r="L10" i="28"/>
  <c r="J10" i="28"/>
  <c r="I10" i="28"/>
  <c r="G10" i="28"/>
  <c r="F10" i="28"/>
  <c r="D10" i="28"/>
  <c r="C10" i="28"/>
  <c r="B2" i="66" s="1"/>
  <c r="AN9" i="28"/>
  <c r="K9" i="28"/>
  <c r="H9" i="28"/>
  <c r="E9" i="28"/>
  <c r="AN8" i="28"/>
  <c r="K8" i="28"/>
  <c r="H8" i="28"/>
  <c r="E8" i="28"/>
  <c r="AN7" i="28"/>
  <c r="K7" i="28"/>
  <c r="H7" i="28"/>
  <c r="E7" i="28"/>
  <c r="AN6" i="28"/>
  <c r="K6" i="28"/>
  <c r="H6" i="28"/>
  <c r="E6" i="28"/>
  <c r="M10" i="24"/>
  <c r="L10" i="24"/>
  <c r="J10" i="24"/>
  <c r="I10" i="24"/>
  <c r="G10" i="24"/>
  <c r="F10" i="24"/>
  <c r="D10" i="24"/>
  <c r="C10" i="24"/>
  <c r="AN9" i="24"/>
  <c r="K9" i="24"/>
  <c r="H9" i="24"/>
  <c r="E9" i="24"/>
  <c r="AN8" i="24"/>
  <c r="K8" i="24"/>
  <c r="H8" i="24"/>
  <c r="E8" i="24"/>
  <c r="AN7" i="24"/>
  <c r="K7" i="24"/>
  <c r="H7" i="24"/>
  <c r="E7" i="24"/>
  <c r="AN6" i="24"/>
  <c r="K6" i="24"/>
  <c r="H6" i="24"/>
  <c r="E6" i="24"/>
  <c r="P10" i="23"/>
  <c r="O10" i="23"/>
  <c r="M10" i="23"/>
  <c r="L10" i="23"/>
  <c r="J10" i="23"/>
  <c r="I10" i="23"/>
  <c r="G10" i="23"/>
  <c r="F10" i="23"/>
  <c r="D10" i="23"/>
  <c r="C10" i="23"/>
  <c r="AN9" i="23"/>
  <c r="K9" i="23"/>
  <c r="H9" i="23"/>
  <c r="E9" i="23"/>
  <c r="AN8" i="23"/>
  <c r="K8" i="23"/>
  <c r="H8" i="23"/>
  <c r="E8" i="23"/>
  <c r="AN7" i="23"/>
  <c r="K7" i="23"/>
  <c r="H7" i="23"/>
  <c r="E7" i="23"/>
  <c r="AN6" i="23"/>
  <c r="K6" i="23"/>
  <c r="H6" i="23"/>
  <c r="E6" i="23"/>
  <c r="E6" i="14"/>
  <c r="J10" i="14"/>
  <c r="I10" i="14"/>
  <c r="H10" i="14"/>
  <c r="G10" i="14"/>
  <c r="F10" i="14"/>
  <c r="D10" i="14"/>
  <c r="C10" i="14"/>
  <c r="AN9" i="14"/>
  <c r="K9" i="14"/>
  <c r="H9" i="14"/>
  <c r="E9" i="14"/>
  <c r="AN8" i="14"/>
  <c r="K8" i="14"/>
  <c r="H8" i="14"/>
  <c r="E8" i="14"/>
  <c r="AN7" i="14"/>
  <c r="K7" i="14"/>
  <c r="H7" i="14"/>
  <c r="E7" i="14"/>
  <c r="AN6" i="14"/>
  <c r="AO6" i="14" s="1"/>
  <c r="K6" i="14"/>
  <c r="H6" i="14"/>
  <c r="B14" i="66" l="1"/>
  <c r="D14" i="66" s="1"/>
  <c r="D2" i="66"/>
  <c r="AL10" i="28"/>
  <c r="AI10" i="33"/>
  <c r="AI10" i="28"/>
  <c r="AF10" i="33"/>
  <c r="AM10" i="23"/>
  <c r="AC10" i="32"/>
  <c r="AC10" i="33"/>
  <c r="Z10" i="33"/>
  <c r="AM10" i="33"/>
  <c r="Z10" i="28"/>
  <c r="AM10" i="32"/>
  <c r="W10" i="28"/>
  <c r="W10" i="30"/>
  <c r="AM10" i="30"/>
  <c r="E10" i="30"/>
  <c r="N10" i="28"/>
  <c r="Q10" i="28"/>
  <c r="W10" i="33"/>
  <c r="N10" i="23"/>
  <c r="K10" i="28"/>
  <c r="H10" i="28"/>
  <c r="AN10" i="28"/>
  <c r="AO9" i="28"/>
  <c r="AO8" i="28"/>
  <c r="AO7" i="28"/>
  <c r="AO6" i="28"/>
  <c r="E10" i="28"/>
  <c r="K10" i="24"/>
  <c r="H10" i="24"/>
  <c r="AO9" i="24"/>
  <c r="AO8" i="24"/>
  <c r="AO7" i="24"/>
  <c r="E10" i="24"/>
  <c r="AO6" i="24"/>
  <c r="Q10" i="23"/>
  <c r="K10" i="23"/>
  <c r="AO9" i="23"/>
  <c r="H10" i="23"/>
  <c r="K10" i="33"/>
  <c r="AO8" i="33"/>
  <c r="AO6" i="33"/>
  <c r="AO9" i="33"/>
  <c r="AO7" i="33"/>
  <c r="K10" i="32"/>
  <c r="H10" i="32"/>
  <c r="AN10" i="33"/>
  <c r="Q10" i="32"/>
  <c r="AO9" i="32"/>
  <c r="N10" i="32"/>
  <c r="AN10" i="32"/>
  <c r="AO7" i="32"/>
  <c r="AO6" i="32"/>
  <c r="AO8" i="32"/>
  <c r="E10" i="32"/>
  <c r="Q10" i="30"/>
  <c r="N10" i="30"/>
  <c r="H10" i="30"/>
  <c r="K10" i="30"/>
  <c r="AO6" i="30"/>
  <c r="AO9" i="30"/>
  <c r="AO8" i="30"/>
  <c r="AO7" i="30"/>
  <c r="AN10" i="30"/>
  <c r="AN10" i="24"/>
  <c r="AN10" i="23"/>
  <c r="AO7" i="23"/>
  <c r="AO8" i="23"/>
  <c r="AO6" i="23"/>
  <c r="E10" i="23"/>
  <c r="AO8" i="14"/>
  <c r="AN10" i="14"/>
  <c r="K10" i="14"/>
  <c r="AO7" i="14"/>
  <c r="AO9" i="14"/>
  <c r="E10" i="14"/>
  <c r="AO10" i="33" l="1"/>
  <c r="AO10" i="28"/>
  <c r="AO10" i="24"/>
  <c r="AO10" i="23"/>
  <c r="AO10" i="32"/>
  <c r="AO10" i="30"/>
  <c r="AO10" i="14"/>
  <c r="AM10" i="48"/>
  <c r="AO10" i="48" s="1"/>
</calcChain>
</file>

<file path=xl/sharedStrings.xml><?xml version="1.0" encoding="utf-8"?>
<sst xmlns="http://schemas.openxmlformats.org/spreadsheetml/2006/main" count="1492" uniqueCount="145">
  <si>
    <t>May</t>
  </si>
  <si>
    <t>June</t>
  </si>
  <si>
    <t>July</t>
  </si>
  <si>
    <t>LCV</t>
  </si>
  <si>
    <t>HCV</t>
  </si>
  <si>
    <t>Buses and coaches</t>
  </si>
  <si>
    <t>Passenger cars</t>
  </si>
  <si>
    <t>Total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</si>
  <si>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</si>
  <si>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</si>
  <si>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</si>
  <si>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</si>
  <si>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</si>
  <si>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</si>
  <si>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</si>
  <si>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</si>
  <si>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</si>
  <si>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GERMANY</t>
  </si>
  <si>
    <t>AUSTRALIA</t>
  </si>
  <si>
    <t>SOUTH AFRICA</t>
  </si>
  <si>
    <t>PORTUGAL</t>
  </si>
  <si>
    <t>ROMANIA</t>
  </si>
  <si>
    <t xml:space="preserve">Source: </t>
  </si>
  <si>
    <t>Source: VDA</t>
  </si>
  <si>
    <t>Source: ANFIA</t>
  </si>
  <si>
    <t>RUSSIA</t>
  </si>
  <si>
    <t>Source: SIAM</t>
  </si>
  <si>
    <t>INDIA</t>
  </si>
  <si>
    <t>Cumulative variation 2020/2019</t>
  </si>
  <si>
    <t>Cumulative total</t>
  </si>
  <si>
    <t>Variation</t>
  </si>
  <si>
    <t>ARGENTINA</t>
  </si>
  <si>
    <t>Source: ACAP</t>
  </si>
  <si>
    <t>Source: NAAMSA</t>
  </si>
  <si>
    <t>2020/2019</t>
  </si>
  <si>
    <t>SWITZERLAND</t>
  </si>
  <si>
    <t>Source: OAR</t>
  </si>
  <si>
    <t>http://www.adefa.org.ar/es/estadisticas-mensuales</t>
  </si>
  <si>
    <t>Source:</t>
  </si>
  <si>
    <t>Sales to dealers</t>
  </si>
  <si>
    <t>BRAZIL</t>
  </si>
  <si>
    <t>CHINA</t>
  </si>
  <si>
    <t>LCV *</t>
  </si>
  <si>
    <t>Source: CAAM</t>
  </si>
  <si>
    <t>*</t>
  </si>
  <si>
    <t>Including minibuses</t>
  </si>
  <si>
    <t>USA</t>
  </si>
  <si>
    <t>Light vehicles</t>
  </si>
  <si>
    <t>Source: Auto Innovators</t>
  </si>
  <si>
    <t>TURKEY</t>
  </si>
  <si>
    <t>SUV</t>
  </si>
  <si>
    <t>Heavy Commercial</t>
  </si>
  <si>
    <t>Light Commercial</t>
  </si>
  <si>
    <t>https://www.naamsa.co.za/index.aspx</t>
  </si>
  <si>
    <t>BELGIUM</t>
  </si>
  <si>
    <t>Source: Febiac</t>
  </si>
  <si>
    <t>Source: http://www.apia.ro/publications/statistical-bulletin/</t>
  </si>
  <si>
    <t>FRANCE</t>
  </si>
  <si>
    <t>Source: CCFA</t>
  </si>
  <si>
    <t>KOREA</t>
  </si>
  <si>
    <t>Source: KAMA</t>
  </si>
  <si>
    <t>AUSTRIA</t>
  </si>
  <si>
    <t>BULGARIA</t>
  </si>
  <si>
    <t>Source: ACM</t>
  </si>
  <si>
    <t>CROATIA</t>
  </si>
  <si>
    <t>Source: CACID</t>
  </si>
  <si>
    <t>FINLAND</t>
  </si>
  <si>
    <t>INDONESIA</t>
  </si>
  <si>
    <t>KAZAKHSTAN</t>
  </si>
  <si>
    <t xml:space="preserve">Source: KazAvtoProm
</t>
  </si>
  <si>
    <t>Source: BIL</t>
  </si>
  <si>
    <t>NETHERLANDS</t>
  </si>
  <si>
    <t>NORWAY</t>
  </si>
  <si>
    <t>SPAIN</t>
  </si>
  <si>
    <t xml:space="preserve">Source: 
ANFAC </t>
  </si>
  <si>
    <t>SWEDEN</t>
  </si>
  <si>
    <t>Source: 
BIL Sweden</t>
  </si>
  <si>
    <t>THAILAND</t>
  </si>
  <si>
    <t>Source: 
TAIA</t>
  </si>
  <si>
    <t>UKRAINE</t>
  </si>
  <si>
    <t>Source: 
Ukrautoprom</t>
  </si>
  <si>
    <t>UNITED KINGDOM</t>
  </si>
  <si>
    <t>Source: SMMT</t>
  </si>
  <si>
    <t>https://www.gaikindo.or.id/en/indonesian-automobile-industry-data/</t>
  </si>
  <si>
    <t>LCV+ HCV</t>
  </si>
  <si>
    <t>Commercial vehicles (LCV, HCV, Buses)</t>
  </si>
  <si>
    <t>ITALY</t>
  </si>
  <si>
    <t>JAPAN</t>
  </si>
  <si>
    <t xml:space="preserve">Passenger cars </t>
  </si>
  <si>
    <t>http://www.fcai.com.au/news/index/index/pg</t>
  </si>
  <si>
    <t>Source:  Japan Automobile Dealers Association (JADA), Japan Light Motor Vehicle and Motorcycle Association</t>
  </si>
  <si>
    <t>http://jamaserv.jama.or.jp/newdb/eng/index.html</t>
  </si>
  <si>
    <t>Note: LCV = small + mini trucks</t>
  </si>
  <si>
    <t>Note: HCV=standard trucks</t>
  </si>
  <si>
    <t>http://www.osd.org.tr/osd-publications-/automotive-industry-monthly-report/</t>
  </si>
  <si>
    <t>Pick-up numbers included in LCV</t>
  </si>
  <si>
    <t>Passenger cars *</t>
  </si>
  <si>
    <t>LCV **</t>
  </si>
  <si>
    <t>*Automoviles</t>
  </si>
  <si>
    <t>**Comerciales Livianos</t>
  </si>
  <si>
    <t>Buses</t>
  </si>
  <si>
    <t>Passenger cars*</t>
  </si>
  <si>
    <t>*: Automoveis</t>
  </si>
  <si>
    <t>LCV**</t>
  </si>
  <si>
    <t>**: Comerciais leves</t>
  </si>
  <si>
    <t>Trucks (light up to heavy)***</t>
  </si>
  <si>
    <t>***: Caminhoes</t>
  </si>
  <si>
    <t>Buses and coaches****</t>
  </si>
  <si>
    <t>****:Onibus</t>
  </si>
  <si>
    <t>http://www.aut.fi/en/statistics/new_registrations/monthly/2020</t>
  </si>
  <si>
    <t xml:space="preserve">https://ccfa.fr/communiques-de-presse/ </t>
  </si>
  <si>
    <t xml:space="preserve">https://ccfa.fr/immatriculations-commandes/ </t>
  </si>
  <si>
    <t xml:space="preserve">https://www.vda.de/en/services/facts-and-figures/monthly-figures.html </t>
  </si>
  <si>
    <t xml:space="preserve">https://www.raivereniging.nl/artikel/marktinformatie/statistieken/europese-auto-statistieken.html </t>
  </si>
  <si>
    <t>ISRAEL</t>
  </si>
  <si>
    <t>Source: Ivia</t>
  </si>
  <si>
    <t xml:space="preserve">* New vehicles registrations </t>
  </si>
  <si>
    <t xml:space="preserve">Source: RAI </t>
  </si>
  <si>
    <t>https://www.taia.or.th/Statistics/</t>
  </si>
  <si>
    <t>Source: FFÖ</t>
  </si>
  <si>
    <t xml:space="preserve">https://www.fahrzeugindustrie.at/zahlen-fakten/statistikjahrbuch/ </t>
  </si>
  <si>
    <t xml:space="preserve">http://www.febiac.be/public/list_pressreleases.aspx?lang=FR </t>
  </si>
  <si>
    <t>Source: ANFAVEA</t>
  </si>
  <si>
    <t xml:space="preserve"> http://www.anfavea.com.br/estatisticas  </t>
  </si>
  <si>
    <t>Commercial vechicles (LCV, HCV, Buses)</t>
  </si>
  <si>
    <t>http://kazautoprom.kz/press-releases</t>
  </si>
  <si>
    <t>http://www.kama.or.kr/BoardController</t>
  </si>
  <si>
    <t>https://bilimportorene.no/category/nyheter/</t>
  </si>
  <si>
    <t>LCV + minibuses + picks ups</t>
  </si>
  <si>
    <t>https://www.acap.pt/pt/estatisticas</t>
  </si>
  <si>
    <t>Source: auto-schweiz</t>
  </si>
  <si>
    <t>http://www.oar-info.ru/index.php?id=484</t>
  </si>
  <si>
    <t>https://anfac.com/cifras-clave/matriculaciones-turismos-y-todoterreno/</t>
  </si>
  <si>
    <t>http://www.bilsweden.se/statistik#</t>
  </si>
  <si>
    <t>https://www.auto.swiss/#statistics</t>
  </si>
  <si>
    <t>https://www.smmt.co.uk/category/news/registrations/</t>
  </si>
  <si>
    <t>Passenger cars + LCV + HCV</t>
  </si>
  <si>
    <t>- light  vehicles reports limited to 4,500 kg gross vehicle weight </t>
  </si>
  <si>
    <t>- heavy commercial vehicles reports include vehicles ranging in weight from 3,500 kg</t>
  </si>
  <si>
    <t xml:space="preserve">http://www.fcai.com.au/news/index/view/news/659 </t>
  </si>
  <si>
    <t xml:space="preserve">https://naamsa.co.za/NewVehicleStatistics.aspx </t>
  </si>
  <si>
    <t xml:space="preserve">http://www.bilsweden.se/statistik/nyregistreringar </t>
  </si>
  <si>
    <t>https://ukrautoprom.com.ua/en/category/statistics</t>
  </si>
  <si>
    <t>Statistik Austria</t>
  </si>
  <si>
    <t xml:space="preserve">http://www.kama.or.kr/BoardController?cmd=V&amp;boardmaster_id=months_e&amp;gubun=eng&amp;board_id=452&amp;menunum=0081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</si>
</sst>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;[Red]\-0.0"/>
    <numFmt numFmtId="165" formatCode="_-* #,##0_-;\-* #,##0_-;_-* &quot;-&quot;??_-;_-@_-"/>
    <numFmt numFmtId="166" formatCode="0.0%"/>
    <numFmt numFmtId="167" formatCode="#,##0_);[Red]\(#,##0\)"/>
    <numFmt numFmtId="168" formatCode="_(* #,##0.00_);_(* \(#,##0.00\);_(* &quot;-&quot;??_);_(@_)"/>
    <numFmt numFmtId="169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28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b/>
      <i/>
      <sz val="8"/>
      <name val="Arial"/>
      <family val="2"/>
    </font>
    <font>
      <b/>
      <sz val="11"/>
      <color theme="1"/>
      <name val="Calibri"/>
      <family val="2"/>
    </font>
    <font>
      <sz val="14"/>
      <color rgb="FF303036"/>
      <name val="Segoe U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4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164" fontId="5" fillId="0" borderId="0" applyFill="0" applyBorder="0" applyAlignment="0" applyProtection="0"/>
    <xf numFmtId="43" fontId="5" fillId="0" borderId="0" applyFill="0" applyBorder="0" applyAlignment="0" applyProtection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43" fontId="5" fillId="0" borderId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  <xf numFmtId="3" fontId="0" fillId="0" borderId="1" xfId="0" applyNumberFormat="1" applyBorder="1" applyAlignment="1">
      <alignment vertical="center"/>
    </xf>
    <xf numFmtId="3" fontId="5" fillId="2" borderId="5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165" fontId="5" fillId="3" borderId="3" xfId="6" applyNumberForma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2" fillId="0" borderId="0" xfId="0" applyFont="1"/>
    <xf numFmtId="0" fontId="0" fillId="0" borderId="4" xfId="0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1" fillId="0" borderId="1" xfId="1" applyNumberFormat="1" applyFont="1" applyBorder="1"/>
    <xf numFmtId="166" fontId="2" fillId="0" borderId="1" xfId="1" applyNumberFormat="1" applyFont="1" applyBorder="1"/>
    <xf numFmtId="3" fontId="2" fillId="0" borderId="4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10" fontId="0" fillId="0" borderId="4" xfId="0" applyNumberForma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8" fillId="0" borderId="0" xfId="0" applyNumberFormat="1" applyFont="1"/>
    <xf numFmtId="0" fontId="0" fillId="0" borderId="0" xfId="0"/>
    <xf numFmtId="49" fontId="0" fillId="0" borderId="0" xfId="0" applyNumberFormat="1"/>
    <xf numFmtId="3" fontId="0" fillId="0" borderId="0" xfId="0" applyNumberFormat="1"/>
    <xf numFmtId="0" fontId="2" fillId="0" borderId="4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0" xfId="7" applyFont="1">
      <alignment vertical="center"/>
    </xf>
    <xf numFmtId="0" fontId="9" fillId="0" borderId="0" xfId="0" applyFont="1"/>
    <xf numFmtId="3" fontId="9" fillId="0" borderId="0" xfId="0" applyNumberFormat="1" applyFont="1"/>
    <xf numFmtId="0" fontId="9" fillId="0" borderId="0" xfId="7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10" fillId="0" borderId="0" xfId="9"/>
    <xf numFmtId="0" fontId="1" fillId="0" borderId="0" xfId="1" applyFont="1"/>
    <xf numFmtId="0" fontId="8" fillId="0" borderId="0" xfId="0" applyFont="1"/>
    <xf numFmtId="166" fontId="2" fillId="0" borderId="4" xfId="1" applyNumberFormat="1" applyFont="1" applyBorder="1"/>
    <xf numFmtId="3" fontId="0" fillId="0" borderId="4" xfId="0" applyNumberFormat="1" applyBorder="1"/>
    <xf numFmtId="0" fontId="2" fillId="0" borderId="4" xfId="0" applyFont="1" applyBorder="1"/>
    <xf numFmtId="166" fontId="1" fillId="0" borderId="4" xfId="1" applyNumberFormat="1" applyFont="1" applyBorder="1"/>
    <xf numFmtId="0" fontId="1" fillId="0" borderId="4" xfId="1" applyFont="1" applyBorder="1"/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0" fillId="0" borderId="4" xfId="0" applyNumberFormat="1" applyBorder="1" applyAlignment="1">
      <alignment vertical="center"/>
    </xf>
    <xf numFmtId="0" fontId="2" fillId="0" borderId="4" xfId="0" applyFont="1" applyBorder="1" applyAlignment="1">
      <alignment horizontal="left"/>
    </xf>
    <xf numFmtId="49" fontId="8" fillId="0" borderId="0" xfId="0" applyNumberFormat="1" applyFont="1"/>
    <xf numFmtId="3" fontId="0" fillId="0" borderId="13" xfId="0" applyNumberFormat="1" applyBorder="1"/>
    <xf numFmtId="0" fontId="0" fillId="0" borderId="0" xfId="0" applyAlignment="1">
      <alignment horizontal="right"/>
    </xf>
    <xf numFmtId="49" fontId="0" fillId="0" borderId="0" xfId="0" quotePrefix="1" applyNumberFormat="1"/>
    <xf numFmtId="0" fontId="0" fillId="0" borderId="4" xfId="0" applyBorder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3" fontId="0" fillId="0" borderId="0" xfId="0" applyNumberFormat="1" applyBorder="1"/>
    <xf numFmtId="0" fontId="0" fillId="0" borderId="0" xfId="0" applyBorder="1"/>
    <xf numFmtId="3" fontId="11" fillId="0" borderId="4" xfId="0" applyNumberFormat="1" applyFont="1" applyBorder="1"/>
    <xf numFmtId="165" fontId="5" fillId="0" borderId="3" xfId="6" applyNumberFormat="1" applyFill="1" applyBorder="1" applyAlignment="1">
      <alignment horizontal="right"/>
    </xf>
    <xf numFmtId="3" fontId="0" fillId="0" borderId="1" xfId="0" applyNumberFormat="1" applyFill="1" applyBorder="1"/>
    <xf numFmtId="49" fontId="10" fillId="0" borderId="0" xfId="9" applyNumberFormat="1"/>
    <xf numFmtId="166" fontId="0" fillId="0" borderId="4" xfId="0" applyNumberFormat="1" applyBorder="1"/>
    <xf numFmtId="166" fontId="2" fillId="0" borderId="4" xfId="0" applyNumberFormat="1" applyFont="1" applyBorder="1"/>
    <xf numFmtId="0" fontId="0" fillId="0" borderId="0" xfId="0"/>
    <xf numFmtId="0" fontId="0" fillId="0" borderId="4" xfId="0" applyBorder="1"/>
    <xf numFmtId="3" fontId="0" fillId="0" borderId="4" xfId="0" applyNumberFormat="1" applyBorder="1"/>
    <xf numFmtId="3" fontId="2" fillId="0" borderId="4" xfId="0" applyNumberFormat="1" applyFont="1" applyBorder="1"/>
    <xf numFmtId="3" fontId="0" fillId="0" borderId="4" xfId="0" applyNumberFormat="1" applyBorder="1" applyAlignment="1">
      <alignment vertical="center"/>
    </xf>
    <xf numFmtId="3" fontId="6" fillId="2" borderId="3" xfId="0" applyNumberFormat="1" applyFont="1" applyFill="1" applyBorder="1" applyAlignment="1">
      <alignment horizontal="right"/>
    </xf>
    <xf numFmtId="0" fontId="2" fillId="0" borderId="0" xfId="0" applyFont="1"/>
    <xf numFmtId="0" fontId="2" fillId="0" borderId="4" xfId="0" applyFont="1" applyBorder="1" applyAlignment="1">
      <alignment horizontal="center"/>
    </xf>
    <xf numFmtId="166" fontId="1" fillId="0" borderId="4" xfId="1" applyNumberFormat="1" applyFont="1" applyBorder="1"/>
    <xf numFmtId="166" fontId="2" fillId="0" borderId="4" xfId="1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10" fontId="2" fillId="0" borderId="4" xfId="0" applyNumberFormat="1" applyFont="1" applyBorder="1"/>
    <xf numFmtId="3" fontId="8" fillId="0" borderId="0" xfId="0" applyNumberFormat="1" applyFont="1"/>
    <xf numFmtId="49" fontId="0" fillId="0" borderId="0" xfId="0" applyNumberFormat="1"/>
    <xf numFmtId="3" fontId="0" fillId="0" borderId="0" xfId="0" applyNumberFormat="1"/>
    <xf numFmtId="0" fontId="2" fillId="0" borderId="4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10" fillId="0" borderId="0" xfId="9"/>
    <xf numFmtId="0" fontId="0" fillId="0" borderId="0" xfId="0" applyAlignment="1">
      <alignment vertical="center"/>
    </xf>
    <xf numFmtId="3" fontId="11" fillId="0" borderId="4" xfId="0" applyNumberFormat="1" applyFont="1" applyBorder="1"/>
    <xf numFmtId="3" fontId="6" fillId="0" borderId="3" xfId="0" applyNumberFormat="1" applyFont="1" applyFill="1" applyBorder="1" applyAlignment="1">
      <alignment horizontal="right"/>
    </xf>
    <xf numFmtId="3" fontId="0" fillId="0" borderId="4" xfId="0" applyNumberFormat="1" applyFill="1" applyBorder="1"/>
    <xf numFmtId="166" fontId="0" fillId="0" borderId="4" xfId="0" applyNumberFormat="1" applyFill="1" applyBorder="1"/>
    <xf numFmtId="166" fontId="2" fillId="0" borderId="4" xfId="0" applyNumberFormat="1" applyFont="1" applyFill="1" applyBorder="1"/>
    <xf numFmtId="3" fontId="13" fillId="0" borderId="4" xfId="0" applyNumberFormat="1" applyFont="1" applyBorder="1"/>
    <xf numFmtId="0" fontId="11" fillId="0" borderId="4" xfId="0" applyFont="1" applyBorder="1"/>
    <xf numFmtId="166" fontId="11" fillId="0" borderId="4" xfId="0" applyNumberFormat="1" applyFont="1" applyBorder="1"/>
    <xf numFmtId="166" fontId="13" fillId="0" borderId="4" xfId="0" applyNumberFormat="1" applyFont="1" applyBorder="1"/>
    <xf numFmtId="0" fontId="0" fillId="4" borderId="0" xfId="0" applyFill="1"/>
    <xf numFmtId="0" fontId="2" fillId="4" borderId="0" xfId="0" applyFont="1" applyFill="1"/>
    <xf numFmtId="0" fontId="0" fillId="0" borderId="4" xfId="0" applyFill="1" applyBorder="1"/>
    <xf numFmtId="3" fontId="2" fillId="0" borderId="1" xfId="0" applyNumberFormat="1" applyFont="1" applyFill="1" applyBorder="1"/>
    <xf numFmtId="3" fontId="0" fillId="0" borderId="0" xfId="0" applyNumberFormat="1" applyFill="1"/>
    <xf numFmtId="3" fontId="6" fillId="0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3" fontId="0" fillId="0" borderId="1" xfId="0" applyNumberFormat="1" applyFill="1" applyBorder="1" applyAlignment="1">
      <alignment vertical="center"/>
    </xf>
    <xf numFmtId="166" fontId="1" fillId="0" borderId="1" xfId="1" applyNumberFormat="1" applyFont="1" applyFill="1" applyBorder="1"/>
    <xf numFmtId="0" fontId="0" fillId="0" borderId="0" xfId="0" applyFill="1"/>
    <xf numFmtId="0" fontId="0" fillId="0" borderId="1" xfId="0" applyFill="1" applyBorder="1"/>
    <xf numFmtId="3" fontId="2" fillId="0" borderId="4" xfId="0" applyNumberFormat="1" applyFont="1" applyFill="1" applyBorder="1"/>
    <xf numFmtId="166" fontId="2" fillId="0" borderId="1" xfId="1" applyNumberFormat="1" applyFont="1" applyFill="1" applyBorder="1"/>
    <xf numFmtId="0" fontId="2" fillId="0" borderId="0" xfId="0" applyFont="1" applyFill="1"/>
    <xf numFmtId="3" fontId="8" fillId="0" borderId="0" xfId="0" applyNumberFormat="1" applyFont="1" applyFill="1"/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Fill="1" applyBorder="1"/>
    <xf numFmtId="166" fontId="0" fillId="0" borderId="4" xfId="0" applyNumberFormat="1" applyFont="1" applyBorder="1"/>
    <xf numFmtId="166" fontId="8" fillId="0" borderId="4" xfId="0" applyNumberFormat="1" applyFont="1" applyBorder="1"/>
    <xf numFmtId="0" fontId="0" fillId="0" borderId="4" xfId="0" applyBorder="1" applyAlignment="1">
      <alignment horizontal="left" vertical="center" wrapText="1"/>
    </xf>
    <xf numFmtId="166" fontId="0" fillId="0" borderId="4" xfId="0" applyNumberFormat="1" applyBorder="1" applyAlignment="1">
      <alignment vertical="center"/>
    </xf>
    <xf numFmtId="166" fontId="1" fillId="0" borderId="4" xfId="1" applyNumberFormat="1" applyFont="1" applyBorder="1" applyAlignment="1">
      <alignment vertical="center"/>
    </xf>
    <xf numFmtId="3" fontId="0" fillId="0" borderId="4" xfId="0" applyNumberFormat="1" applyFont="1" applyBorder="1"/>
    <xf numFmtId="3" fontId="0" fillId="0" borderId="1" xfId="0" applyNumberFormat="1" applyFont="1" applyBorder="1"/>
    <xf numFmtId="3" fontId="14" fillId="0" borderId="0" xfId="0" applyNumberFormat="1" applyFont="1"/>
    <xf numFmtId="0" fontId="2" fillId="0" borderId="0" xfId="0" applyFont="1" applyBorder="1" applyAlignment="1">
      <alignment vertical="center" wrapText="1"/>
    </xf>
    <xf numFmtId="10" fontId="0" fillId="0" borderId="0" xfId="0" applyNumberFormat="1" applyBorder="1"/>
    <xf numFmtId="3" fontId="2" fillId="0" borderId="0" xfId="0" applyNumberFormat="1" applyFont="1" applyBorder="1"/>
    <xf numFmtId="10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2" xfId="0" applyNumberFormat="1" applyFont="1" applyBorder="1"/>
    <xf numFmtId="166" fontId="0" fillId="0" borderId="2" xfId="0" applyNumberFormat="1" applyFont="1" applyBorder="1"/>
    <xf numFmtId="3" fontId="14" fillId="0" borderId="9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3" fontId="5" fillId="0" borderId="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/>
    <xf numFmtId="10" fontId="0" fillId="0" borderId="0" xfId="0" applyNumberForma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/>
    <xf numFmtId="10" fontId="2" fillId="0" borderId="0" xfId="0" applyNumberFormat="1" applyFont="1" applyFill="1" applyBorder="1"/>
    <xf numFmtId="0" fontId="11" fillId="0" borderId="0" xfId="0" applyFont="1"/>
    <xf numFmtId="166" fontId="11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/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3" fontId="10" fillId="0" borderId="0" xfId="9" applyNumberFormat="1"/>
    <xf numFmtId="3" fontId="0" fillId="0" borderId="14" xfId="0" applyNumberFormat="1" applyBorder="1"/>
    <xf numFmtId="3" fontId="18" fillId="5" borderId="1" xfId="0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 horizontal="right" vertical="center"/>
    </xf>
    <xf numFmtId="0" fontId="19" fillId="0" borderId="0" xfId="0" applyFont="1"/>
    <xf numFmtId="167" fontId="0" fillId="0" borderId="1" xfId="0" applyNumberFormat="1" applyBorder="1"/>
    <xf numFmtId="3" fontId="11" fillId="5" borderId="2" xfId="0" applyNumberFormat="1" applyFont="1" applyFill="1" applyBorder="1" applyAlignment="1">
      <alignment horizontal="right" wrapText="1"/>
    </xf>
    <xf numFmtId="3" fontId="11" fillId="5" borderId="1" xfId="0" applyNumberFormat="1" applyFont="1" applyFill="1" applyBorder="1" applyAlignment="1">
      <alignment horizontal="right" wrapText="1"/>
    </xf>
    <xf numFmtId="3" fontId="0" fillId="0" borderId="9" xfId="0" applyNumberFormat="1" applyBorder="1"/>
    <xf numFmtId="3" fontId="11" fillId="0" borderId="0" xfId="0" applyNumberFormat="1" applyFont="1"/>
    <xf numFmtId="0" fontId="10" fillId="0" borderId="0" xfId="9" applyAlignment="1">
      <alignment vertical="center"/>
    </xf>
    <xf numFmtId="0" fontId="20" fillId="0" borderId="0" xfId="0" applyFont="1" applyBorder="1" applyAlignment="1">
      <alignment horizontal="center" vertical="center"/>
    </xf>
    <xf numFmtId="3" fontId="0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" fontId="0" fillId="0" borderId="0" xfId="0" applyNumberFormat="1"/>
    <xf numFmtId="2" fontId="0" fillId="0" borderId="0" xfId="0" applyNumberFormat="1"/>
    <xf numFmtId="0" fontId="21" fillId="0" borderId="0" xfId="0" quotePrefix="1" applyFont="1"/>
    <xf numFmtId="3" fontId="0" fillId="0" borderId="0" xfId="0" quotePrefix="1" applyNumberFormat="1"/>
    <xf numFmtId="3" fontId="18" fillId="0" borderId="1" xfId="0" applyNumberFormat="1" applyFont="1" applyBorder="1" applyAlignment="1">
      <alignment horizontal="right"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0" fillId="0" borderId="0" xfId="0" applyAlignment="1">
      <alignment wrapText="1"/>
    </xf>
    <xf numFmtId="3" fontId="2" fillId="0" borderId="4" xfId="0" applyNumberFormat="1" applyFont="1" applyBorder="1"/>
    <xf numFmtId="10" fontId="0" fillId="0" borderId="1" xfId="0" applyNumberFormat="1" applyBorder="1"/>
    <xf numFmtId="169" fontId="0" fillId="0" borderId="1" xfId="14" applyNumberFormat="1" applyFont="1" applyBorder="1"/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vertical="center"/>
    </xf>
    <xf numFmtId="169" fontId="0" fillId="0" borderId="1" xfId="14" applyNumberFormat="1" applyFont="1" applyBorder="1" applyAlignment="1">
      <alignment vertical="center"/>
    </xf>
    <xf numFmtId="166" fontId="1" fillId="0" borderId="1" xfId="1" applyNumberFormat="1" applyFont="1" applyBorder="1" applyAlignment="1">
      <alignment vertical="center"/>
    </xf>
    <xf numFmtId="10" fontId="2" fillId="0" borderId="1" xfId="0" applyNumberFormat="1" applyFont="1" applyBorder="1"/>
    <xf numFmtId="0" fontId="0" fillId="0" borderId="0" xfId="0" applyNumberFormat="1"/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/>
    <xf numFmtId="3" fontId="0" fillId="0" borderId="4" xfId="0" applyNumberFormat="1" applyFill="1" applyBorder="1" applyAlignment="1">
      <alignment vertical="center"/>
    </xf>
    <xf numFmtId="1" fontId="0" fillId="0" borderId="0" xfId="0" applyNumberFormat="1"/>
    <xf numFmtId="0" fontId="2" fillId="0" borderId="1" xfId="0" applyFont="1" applyBorder="1" applyAlignment="1">
      <alignment horizontal="center" vertical="center"/>
    </xf>
    <xf numFmtId="9" fontId="0" fillId="0" borderId="1" xfId="15" applyFont="1" applyBorder="1"/>
    <xf numFmtId="0" fontId="0" fillId="0" borderId="1" xfId="0" applyBorder="1" applyAlignment="1">
      <alignment vertical="center"/>
    </xf>
    <xf numFmtId="0" fontId="22" fillId="0" borderId="1" xfId="0" applyFont="1" applyFill="1" applyBorder="1"/>
    <xf numFmtId="3" fontId="22" fillId="0" borderId="1" xfId="0" applyNumberFormat="1" applyFont="1" applyBorder="1"/>
    <xf numFmtId="9" fontId="22" fillId="0" borderId="1" xfId="15" applyFont="1" applyBorder="1"/>
    <xf numFmtId="3" fontId="1" fillId="0" borderId="0" xfId="1" applyNumberFormat="1" applyFont="1"/>
    <xf numFmtId="0" fontId="2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1" xfId="1" applyFont="1" applyBorder="1"/>
    <xf numFmtId="0" fontId="1" fillId="4" borderId="1" xfId="1" applyFont="1" applyFill="1" applyBorder="1"/>
    <xf numFmtId="3" fontId="12" fillId="0" borderId="1" xfId="0" applyNumberFormat="1" applyFont="1" applyBorder="1"/>
    <xf numFmtId="0" fontId="12" fillId="0" borderId="1" xfId="0" applyFont="1" applyBorder="1"/>
    <xf numFmtId="3" fontId="23" fillId="0" borderId="1" xfId="0" applyNumberFormat="1" applyFont="1" applyBorder="1"/>
    <xf numFmtId="3" fontId="0" fillId="4" borderId="1" xfId="0" applyNumberFormat="1" applyFill="1" applyBorder="1"/>
    <xf numFmtId="166" fontId="1" fillId="4" borderId="1" xfId="1" applyNumberFormat="1" applyFont="1" applyFill="1" applyBorder="1"/>
    <xf numFmtId="3" fontId="2" fillId="4" borderId="1" xfId="0" applyNumberFormat="1" applyFont="1" applyFill="1" applyBorder="1"/>
    <xf numFmtId="166" fontId="2" fillId="4" borderId="1" xfId="1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6" fontId="0" fillId="0" borderId="1" xfId="0" applyNumberFormat="1" applyBorder="1"/>
    <xf numFmtId="166" fontId="2" fillId="0" borderId="1" xfId="0" applyNumberFormat="1" applyFont="1" applyBorder="1"/>
    <xf numFmtId="166" fontId="12" fillId="0" borderId="1" xfId="0" applyNumberFormat="1" applyFont="1" applyBorder="1"/>
    <xf numFmtId="166" fontId="23" fillId="0" borderId="1" xfId="0" applyNumberFormat="1" applyFont="1" applyBorder="1"/>
    <xf numFmtId="166" fontId="0" fillId="0" borderId="1" xfId="0" applyNumberFormat="1" applyFont="1" applyBorder="1"/>
    <xf numFmtId="166" fontId="0" fillId="0" borderId="1" xfId="0" applyNumberFormat="1" applyFont="1" applyFill="1" applyBorder="1"/>
    <xf numFmtId="169" fontId="0" fillId="0" borderId="0" xfId="0" applyNumberFormat="1"/>
    <xf numFmtId="9" fontId="0" fillId="0" borderId="0" xfId="15" applyFont="1"/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7" applyFont="1" applyFill="1" applyAlignment="1">
      <alignment horizontal="left" vertical="center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6">
    <cellStyle name="Comma 2" xfId="11" xr:uid="{040698A3-9AD8-4508-AFB4-67D3AD68AB19}"/>
    <cellStyle name="Comma 2 2" xfId="5" xr:uid="{776616B3-D5B1-4B12-B95D-DAE6A8772199}"/>
    <cellStyle name="Lien hypertexte" xfId="9" builtinId="8"/>
    <cellStyle name="Migliaia 4" xfId="6" xr:uid="{64DB64A2-954F-4F62-B197-90695B44D6EC}"/>
    <cellStyle name="Migliaia 4 2" xfId="10" xr:uid="{04E3159C-3AF7-4011-93CE-9285E686B156}"/>
    <cellStyle name="Migliaia 4 3" xfId="12" xr:uid="{33D74C89-B800-444D-AD05-6C230EC32D2A}"/>
    <cellStyle name="Migliaia 4 4" xfId="13" xr:uid="{D256000E-E9B2-4CCD-BD7B-3BD290C9EF66}"/>
    <cellStyle name="Milliers [0] 2" xfId="8" xr:uid="{87FB6210-BFC6-4661-9310-A18CEDD43881}"/>
    <cellStyle name="Milliers 2" xfId="14" xr:uid="{79E81021-3B45-4FAC-9CF5-D1C360351259}"/>
    <cellStyle name="Normal" xfId="0" builtinId="0"/>
    <cellStyle name="Normal 2" xfId="1" xr:uid="{B17477F0-0B72-49AE-8D7E-C5BBA811FD88}"/>
    <cellStyle name="Normal 2 2" xfId="4" xr:uid="{F4C13E9B-94A0-4F2B-8ACD-A1F9CBE39761}"/>
    <cellStyle name="Normal 3" xfId="7" xr:uid="{CDF677EA-D0A4-4E7A-9799-FE5EA1342466}"/>
    <cellStyle name="Pourcentage" xfId="15" builtinId="5"/>
    <cellStyle name="Pourcentage 2" xfId="2" xr:uid="{23971D7F-1940-41AE-B592-2B2C5CB99FB2}"/>
    <cellStyle name="Standard_Tabelle1" xfId="3" xr:uid="{57E0E1E8-3FB6-4ABD-85CA-E380DDBE1527}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baseline="0">
                <a:effectLst/>
              </a:rPr>
              <a:t>Sales/registrations of new vehicles in countries represented in OICA </a:t>
            </a:r>
            <a:endParaRPr lang="fr-F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'Sales Registrations'!$B$1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'Sales Registrations'!$A$2:$A$13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'Sales Registrations'!$B$2:$B$13</c:f>
              <c:numCache>
                <c:formatCode>#,##0</c:formatCode>
                <c:ptCount val="12"/>
                <c:pt idx="0">
                  <c:v>6374305</c:v>
                </c:pt>
                <c:pt idx="1">
                  <c:v>5562849</c:v>
                </c:pt>
                <c:pt idx="2">
                  <c:v>7998475</c:v>
                </c:pt>
                <c:pt idx="3">
                  <c:v>6021155</c:v>
                </c:pt>
                <c:pt idx="4">
                  <c:v>6324725</c:v>
                </c:pt>
                <c:pt idx="5">
                  <c:v>6744570</c:v>
                </c:pt>
                <c:pt idx="6">
                  <c:v>6148229</c:v>
                </c:pt>
                <c:pt idx="7">
                  <c:v>6190980</c:v>
                </c:pt>
                <c:pt idx="8">
                  <c:v>6593130</c:v>
                </c:pt>
                <c:pt idx="9">
                  <c:v>6463877</c:v>
                </c:pt>
                <c:pt idx="10">
                  <c:v>6739974</c:v>
                </c:pt>
                <c:pt idx="11">
                  <c:v>6994485.2249999996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2-416D-935A-05273A32B3BC}"/>
            </c:ext>
          </c:extLst>
        </c:ser>
        <c:ser>
          <c:idx val="1"/>
          <c:order val="1"/>
          <c:tx>
            <c:strRef>
              <c:f>'Sales Registrations'!$C$1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'Sales Registrations'!$A$2:$A$13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'Sales Registrations'!$C$2:$C$13</c:f>
              <c:numCache>
                <c:formatCode>#,##0</c:formatCode>
                <c:ptCount val="12"/>
                <c:pt idx="0">
                  <c:v>5731762</c:v>
                </c:pt>
                <c:pt idx="1">
                  <c:v>4322879</c:v>
                </c:pt>
                <c:pt idx="2">
                  <c:v>4911671</c:v>
                </c:pt>
                <c:pt idx="3">
                  <c:v>3749747</c:v>
                </c:pt>
                <c:pt idx="4">
                  <c:v>4683332</c:v>
                </c:pt>
                <c:pt idx="5">
                  <c:v>5866013</c:v>
                </c:pt>
                <c:pt idx="6">
                  <c:v>6088226</c:v>
                </c:pt>
                <c:pt idx="7">
                  <c:v>5759638</c:v>
                </c:pt>
                <c:pt idx="8">
                  <c:v>6954540</c:v>
                </c:pt>
                <c:pt idx="9">
                  <c:v>6789108</c:v>
                </c:pt>
                <c:pt idx="10">
                  <c:v>6692247</c:v>
                </c:pt>
                <c:pt idx="11">
                  <c:v>7394747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2-416D-935A-05273A32B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911352"/>
        <c:axId val="625911680"/>
      </c:lineChart>
      <c:catAx>
        <c:axId val="62591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5911680"/>
        <c:crosses val="autoZero"/>
        <c:auto val="1"/>
        <c:lblAlgn val="ctr"/>
        <c:lblOffset val="100"/>
        <c:noMultiLvlLbl val="0"/>
      </c:catAx>
      <c:valAx>
        <c:axId val="62591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591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119062</xdr:rowOff>
    </xdr:from>
    <xdr:to>
      <xdr:col>12</xdr:col>
      <xdr:colOff>209550</xdr:colOff>
      <xdr:row>15</xdr:row>
      <xdr:rowOff>4762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524EB56-6BF7-4955-89BF-3D4DFEECC8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ut.fi/en/statistics/new_registrations/monthly/2020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ccfa.fr/immatriculations-commandes/" TargetMode="External"/><Relationship Id="rId1" Type="http://schemas.openxmlformats.org/officeDocument/2006/relationships/hyperlink" Target="https://ccfa.fr/communiques-de-presse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da.de/en/services/facts-and-figures/monthly-figures.htm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gaikindo.or.id/en/indonesian-automobile-industry-data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jamaserv.jama.or.jp/newdb/eng/index.html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kazautoprom.kz/press-releases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://www.kama.or.kr/BoardController?cmd=V&amp;boardmaster_id=months_e&amp;gubun=eng&amp;board_id=452&amp;menunum=0081" TargetMode="External"/><Relationship Id="rId1" Type="http://schemas.openxmlformats.org/officeDocument/2006/relationships/hyperlink" Target="http://www.kama.or.kr/BoardControll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efa.org.ar/es/estadisticas-mensuales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raivereniging.nl/artikel/marktinformatie/statistieken/europese-auto-statistieken.html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bilimportorene.no/category/nyheter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acap.pt/pt/estatisticas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oar-info.ru/index.php?id=484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hyperlink" Target="https://naamsa.co.za/NewVehicleStatistics.aspx" TargetMode="External"/><Relationship Id="rId1" Type="http://schemas.openxmlformats.org/officeDocument/2006/relationships/hyperlink" Target="https://www.naamsa.co.za/index.aspx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anfac.com/cifras-clave/matriculaciones-turismos-y-todoterreno/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hyperlink" Target="http://www.bilsweden.se/statistik/nyregistreringar" TargetMode="External"/><Relationship Id="rId1" Type="http://schemas.openxmlformats.org/officeDocument/2006/relationships/hyperlink" Target="http://www.bilsweden.se/statistik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www.auto.swiss/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fcai.com.au/news/index/view/news/659" TargetMode="External"/><Relationship Id="rId1" Type="http://schemas.openxmlformats.org/officeDocument/2006/relationships/hyperlink" Target="http://www.fcai.com.au/news/index/index/pg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osd.org.tr/osd-publications-/automotive-industry-monthly-report/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s://www.smmt.co.uk/category/news/registrations/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s://ukrautoprom.com.ua/en/category/statistics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fahrzeugindustrie.at/zahlen-fakten/statistikjahrbuch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ebiac.be/public/list_pressreleases.aspx?lang=F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6FA71-7F93-42B2-A3CB-2BF8A4B60A86}">
  <dimension ref="A1:BK36"/>
  <sheetViews>
    <sheetView tabSelected="1" workbookViewId="0">
      <selection activeCell="F21" sqref="F21"/>
    </sheetView>
  </sheetViews>
  <sheetFormatPr baseColWidth="10" defaultRowHeight="15"/>
  <sheetData>
    <row r="1" spans="1:63">
      <c r="A1" s="64"/>
      <c r="B1" s="175">
        <v>2019</v>
      </c>
      <c r="C1" s="175">
        <v>2020</v>
      </c>
      <c r="D1" s="200" t="s">
        <v>30</v>
      </c>
      <c r="AK1" s="64"/>
      <c r="AL1" s="64"/>
      <c r="AM1" s="64"/>
      <c r="AN1" s="64"/>
    </row>
    <row r="2" spans="1:63">
      <c r="A2" s="202" t="s">
        <v>8</v>
      </c>
      <c r="B2" s="152">
        <f>Argentina!B10+Australia!C10+Austria!C10+Belgium!C10+Brazil!C10+Bulgaria!C10+China!C10+Croatia!C10+Finland!C10+France!C10+Germany!C10+'India '!C10+Indonesia!C8+Israel!C10+Italy!C10+'Japan '!C10+Kazakhstan!C8+Korea!C10+Netherlands!C10+Norway!C10+Portugal!C10+Romania!C10+Russia!C10+'South Africa'!C10+Spain!C10+Sweden!C10+Switzerland!C10+Thailand!C8+Turkey!C10+UK!C10+Ukraine!C9+USA!B9</f>
        <v>6374305</v>
      </c>
      <c r="C2" s="185">
        <f>Argentina!C10+Australia!D10+Austria!D10+Belgium!D10+Brazil!D10+Bulgaria!D10+China!D10+Croatia!D10+Finland!D10+France!D10+Germany!D10+'India '!D10+Indonesia!D8+Israel!D10+Italy!D10+'Japan '!D10+Kazakhstan!D8+Korea!D10+Netherlands!D10+Norway!D10+Portugal!D10+Romania!D10+Russia!D10+'South Africa'!D10+Spain!D10+Sweden!D10+Switzerland!D10+Thailand!D8+Turkey!D10+UK!D10+Ukraine!D9+USA!C9</f>
        <v>5731762</v>
      </c>
      <c r="D2" s="201">
        <f>(C2-B2)/B2</f>
        <v>-0.1008020482232965</v>
      </c>
      <c r="E2" s="152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</row>
    <row r="3" spans="1:63">
      <c r="A3" s="183" t="s">
        <v>9</v>
      </c>
      <c r="B3" s="185">
        <v>5562849</v>
      </c>
      <c r="C3" s="185">
        <v>4322879</v>
      </c>
      <c r="D3" s="201">
        <f t="shared" ref="D3:D14" si="0">(C3-B3)/B3</f>
        <v>-0.22290196983595995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</row>
    <row r="4" spans="1:63">
      <c r="A4" s="183" t="s">
        <v>10</v>
      </c>
      <c r="B4" s="185">
        <v>7998475</v>
      </c>
      <c r="C4" s="185">
        <v>4911671</v>
      </c>
      <c r="D4" s="201">
        <f t="shared" si="0"/>
        <v>-0.385924066775229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</row>
    <row r="5" spans="1:63">
      <c r="A5" s="183" t="s">
        <v>11</v>
      </c>
      <c r="B5" s="185">
        <v>6021155</v>
      </c>
      <c r="C5" s="185">
        <v>3749747</v>
      </c>
      <c r="D5" s="201">
        <f t="shared" si="0"/>
        <v>-0.37723792196015549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</row>
    <row r="6" spans="1:63">
      <c r="A6" s="183" t="s">
        <v>0</v>
      </c>
      <c r="B6" s="185">
        <v>6324725</v>
      </c>
      <c r="C6" s="185">
        <v>4683332</v>
      </c>
      <c r="D6" s="201">
        <f t="shared" si="0"/>
        <v>-0.25952005818434792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</row>
    <row r="7" spans="1:63">
      <c r="A7" s="183" t="s">
        <v>1</v>
      </c>
      <c r="B7" s="185">
        <v>6744570</v>
      </c>
      <c r="C7" s="185">
        <v>5866013</v>
      </c>
      <c r="D7" s="201">
        <f t="shared" si="0"/>
        <v>-0.13026138063657133</v>
      </c>
      <c r="G7" s="184"/>
    </row>
    <row r="8" spans="1:63">
      <c r="A8" s="183" t="s">
        <v>2</v>
      </c>
      <c r="B8" s="185">
        <v>6148229</v>
      </c>
      <c r="C8" s="185">
        <v>6088226</v>
      </c>
      <c r="D8" s="201">
        <f t="shared" si="0"/>
        <v>-9.7593957544522165E-3</v>
      </c>
    </row>
    <row r="9" spans="1:63">
      <c r="A9" s="183" t="s">
        <v>12</v>
      </c>
      <c r="B9" s="185">
        <v>6190980</v>
      </c>
      <c r="C9" s="185">
        <v>5759638</v>
      </c>
      <c r="D9" s="201">
        <f t="shared" si="0"/>
        <v>-6.9672652794872544E-2</v>
      </c>
    </row>
    <row r="10" spans="1:63">
      <c r="A10" s="183" t="s">
        <v>13</v>
      </c>
      <c r="B10" s="185">
        <v>6593130</v>
      </c>
      <c r="C10" s="185">
        <v>6954540</v>
      </c>
      <c r="D10" s="201">
        <f t="shared" si="0"/>
        <v>5.4816149537473095E-2</v>
      </c>
    </row>
    <row r="11" spans="1:63">
      <c r="A11" s="183" t="s">
        <v>14</v>
      </c>
      <c r="B11" s="185">
        <v>6463877</v>
      </c>
      <c r="C11" s="185">
        <v>6789108</v>
      </c>
      <c r="D11" s="201">
        <f t="shared" si="0"/>
        <v>5.0315159152935614E-2</v>
      </c>
    </row>
    <row r="12" spans="1:63">
      <c r="A12" s="183" t="s">
        <v>15</v>
      </c>
      <c r="B12" s="185">
        <v>6739974</v>
      </c>
      <c r="C12" s="185">
        <v>6692247</v>
      </c>
      <c r="D12" s="201">
        <f t="shared" si="0"/>
        <v>-7.0811845861719945E-3</v>
      </c>
    </row>
    <row r="13" spans="1:63">
      <c r="A13" s="110" t="s">
        <v>16</v>
      </c>
      <c r="B13" s="185">
        <v>6994485.2249999996</v>
      </c>
      <c r="C13" s="185">
        <v>7394747</v>
      </c>
      <c r="D13" s="201">
        <f t="shared" si="0"/>
        <v>5.7225337122647275E-2</v>
      </c>
    </row>
    <row r="14" spans="1:63">
      <c r="A14" s="203" t="s">
        <v>7</v>
      </c>
      <c r="B14" s="204">
        <f>SUM(B2:B13)</f>
        <v>78156754.224999994</v>
      </c>
      <c r="C14" s="204">
        <f>SUM(C2:C13)</f>
        <v>68943910</v>
      </c>
      <c r="D14" s="205">
        <f t="shared" si="0"/>
        <v>-0.11787649469779392</v>
      </c>
    </row>
    <row r="19" spans="2:4">
      <c r="B19" s="184"/>
    </row>
    <row r="24" spans="2:4">
      <c r="D24" s="230"/>
    </row>
    <row r="25" spans="2:4">
      <c r="D25" s="230"/>
    </row>
    <row r="26" spans="2:4">
      <c r="D26" s="230"/>
    </row>
    <row r="27" spans="2:4">
      <c r="D27" s="230"/>
    </row>
    <row r="28" spans="2:4">
      <c r="D28" s="230"/>
    </row>
    <row r="29" spans="2:4">
      <c r="D29" s="230"/>
    </row>
    <row r="30" spans="2:4">
      <c r="D30" s="230"/>
    </row>
    <row r="31" spans="2:4">
      <c r="D31" s="230"/>
    </row>
    <row r="32" spans="2:4">
      <c r="D32" s="230"/>
    </row>
    <row r="33" spans="4:4">
      <c r="D33" s="230"/>
    </row>
    <row r="34" spans="4:4">
      <c r="D34" s="230"/>
    </row>
    <row r="35" spans="4:4">
      <c r="D35" s="230"/>
    </row>
    <row r="36" spans="4:4">
      <c r="D36" s="230"/>
    </row>
  </sheetData>
  <pageMargins left="0.7" right="0.7" top="0.75" bottom="0.75" header="0.3" footer="0.3"/>
  <pageSetup paperSize="9" orientation="portrait" verticalDpi="0" r:id="rId1"/>
  <ignoredErrors>
    <ignoredError sqref="D2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F5943-DE81-4E67-BB04-595946880E07}">
  <dimension ref="A1:AR21"/>
  <sheetViews>
    <sheetView topLeftCell="B1" zoomScaleNormal="100" workbookViewId="0">
      <pane xSplit="1" topLeftCell="AB1" activePane="topRight" state="frozen"/>
      <selection activeCell="B1" sqref="B1"/>
      <selection pane="topRight" activeCell="AM12" sqref="AM12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3" width="8.7109375" style="25" customWidth="1"/>
    <col min="4" max="4" width="9" style="25" customWidth="1"/>
    <col min="5" max="5" width="11.5703125" style="25" customWidth="1"/>
    <col min="6" max="6" width="9.140625" style="25" customWidth="1"/>
    <col min="7" max="7" width="10.140625" style="25" customWidth="1"/>
    <col min="8" max="8" width="10.85546875" style="25" customWidth="1"/>
    <col min="9" max="9" width="9.7109375" style="25" customWidth="1"/>
    <col min="10" max="10" width="9.42578125" style="25" customWidth="1"/>
    <col min="11" max="12" width="10" style="25" customWidth="1"/>
    <col min="13" max="13" width="9.7109375" style="25" customWidth="1"/>
    <col min="14" max="14" width="11.140625" style="25" customWidth="1"/>
    <col min="15" max="15" width="8.85546875" style="25" customWidth="1"/>
    <col min="16" max="16" width="10.42578125" style="25" customWidth="1"/>
    <col min="17" max="17" width="10.140625" style="25" bestFit="1" customWidth="1"/>
    <col min="18" max="18" width="10.42578125" style="25" customWidth="1"/>
    <col min="19" max="19" width="11.42578125" style="25" customWidth="1"/>
    <col min="20" max="20" width="11.42578125" style="25"/>
    <col min="21" max="21" width="10.42578125" style="25" customWidth="1"/>
    <col min="22" max="22" width="10.5703125" style="25" customWidth="1"/>
    <col min="23" max="16384" width="11.42578125" style="25"/>
  </cols>
  <sheetData>
    <row r="1" spans="2:44">
      <c r="B1" s="10" t="s">
        <v>66</v>
      </c>
    </row>
    <row r="2" spans="2:44">
      <c r="B2" s="53"/>
      <c r="S2" s="27"/>
    </row>
    <row r="4" spans="2:44" ht="45" customHeight="1">
      <c r="B4" s="11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1" t="s">
        <v>29</v>
      </c>
      <c r="AN4" s="232"/>
      <c r="AO4" s="237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8" t="s">
        <v>34</v>
      </c>
      <c r="I5" s="12">
        <v>2019</v>
      </c>
      <c r="J5" s="12">
        <v>2020</v>
      </c>
      <c r="K5" s="28" t="s">
        <v>34</v>
      </c>
      <c r="L5" s="12">
        <v>2019</v>
      </c>
      <c r="M5" s="12">
        <v>2020</v>
      </c>
      <c r="N5" s="28" t="s">
        <v>34</v>
      </c>
      <c r="O5" s="12">
        <v>2019</v>
      </c>
      <c r="P5" s="12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2">
        <v>2019</v>
      </c>
      <c r="AN5" s="12">
        <v>2020</v>
      </c>
      <c r="AO5" s="238"/>
    </row>
    <row r="6" spans="2:44">
      <c r="B6" s="20" t="s">
        <v>6</v>
      </c>
      <c r="C6" s="40">
        <v>11738</v>
      </c>
      <c r="D6" s="40">
        <v>10798</v>
      </c>
      <c r="E6" s="62">
        <f>(D6-C6)/C6</f>
        <v>-8.0081785653433296E-2</v>
      </c>
      <c r="F6" s="40">
        <v>8085</v>
      </c>
      <c r="G6" s="40">
        <v>8271</v>
      </c>
      <c r="H6" s="62">
        <f>(G6-F6)/F6</f>
        <v>2.3005565862708719E-2</v>
      </c>
      <c r="I6" s="40">
        <v>9279</v>
      </c>
      <c r="J6" s="40">
        <v>9194</v>
      </c>
      <c r="K6" s="62">
        <f>(J6-I6)/I6</f>
        <v>-9.1604698782196351E-3</v>
      </c>
      <c r="L6" s="40">
        <v>9748</v>
      </c>
      <c r="M6" s="40">
        <v>5981</v>
      </c>
      <c r="N6" s="62">
        <f>(M6-L6)/L6</f>
        <v>-0.38643824374230612</v>
      </c>
      <c r="O6" s="40">
        <v>10891</v>
      </c>
      <c r="P6" s="40">
        <v>5110</v>
      </c>
      <c r="Q6" s="62">
        <f>(P6-O6)/O6</f>
        <v>-0.53080525204297124</v>
      </c>
      <c r="R6" s="40">
        <v>10539</v>
      </c>
      <c r="S6" s="40">
        <v>8023</v>
      </c>
      <c r="T6" s="62">
        <f>(S6-R6)/R6</f>
        <v>-0.2387323275453079</v>
      </c>
      <c r="U6" s="40">
        <v>9220</v>
      </c>
      <c r="V6" s="11">
        <v>9101</v>
      </c>
      <c r="W6" s="62">
        <f>(V6-U6)/U6</f>
        <v>-1.2906724511930586E-2</v>
      </c>
      <c r="X6" s="66">
        <v>9994</v>
      </c>
      <c r="Y6" s="66">
        <v>8485</v>
      </c>
      <c r="Z6" s="62">
        <f>(Y6-X6)/X6</f>
        <v>-0.15099059435661397</v>
      </c>
      <c r="AA6" s="66">
        <v>8439</v>
      </c>
      <c r="AB6" s="66">
        <v>8424</v>
      </c>
      <c r="AC6" s="62">
        <f>(AB6-AA6)/AA6</f>
        <v>-1.7774617845716318E-3</v>
      </c>
      <c r="AD6" s="40">
        <v>9371</v>
      </c>
      <c r="AE6" s="66">
        <v>7499</v>
      </c>
      <c r="AF6" s="62">
        <f>(AE6-AD6)/AD6</f>
        <v>-0.19976523316615089</v>
      </c>
      <c r="AG6" s="66">
        <v>8683</v>
      </c>
      <c r="AH6" s="66">
        <v>7374</v>
      </c>
      <c r="AI6" s="62">
        <f>(AH6-AG6)/AG6</f>
        <v>-0.15075434757572267</v>
      </c>
      <c r="AJ6" s="46">
        <v>8215</v>
      </c>
      <c r="AK6" s="66">
        <v>8132</v>
      </c>
      <c r="AL6" s="62">
        <f>(AK6-AJ6)/AJ6</f>
        <v>-1.0103469263542301E-2</v>
      </c>
      <c r="AM6" s="67">
        <f t="shared" ref="AM6:AN10" si="0">C6+F6+I6+L6+O6+R6+U6+X6+AA6+AD6+AG6+AJ6</f>
        <v>114202</v>
      </c>
      <c r="AN6" s="67">
        <f t="shared" si="0"/>
        <v>96392</v>
      </c>
      <c r="AO6" s="42">
        <f>(AN6-AM6)/AM6</f>
        <v>-0.15595173464562792</v>
      </c>
    </row>
    <row r="7" spans="2:44">
      <c r="B7" s="20" t="s">
        <v>3</v>
      </c>
      <c r="C7" s="40">
        <v>1493</v>
      </c>
      <c r="D7" s="40">
        <v>1274</v>
      </c>
      <c r="E7" s="62">
        <f>(D7-C7)/C7</f>
        <v>-0.14668452779638314</v>
      </c>
      <c r="F7" s="40">
        <v>1056</v>
      </c>
      <c r="G7" s="40">
        <v>1018</v>
      </c>
      <c r="H7" s="62">
        <f>(G7-F7)/F7</f>
        <v>-3.5984848484848488E-2</v>
      </c>
      <c r="I7" s="40">
        <v>1380</v>
      </c>
      <c r="J7" s="40">
        <v>1220</v>
      </c>
      <c r="K7" s="62">
        <f>(J7-I7)/I7</f>
        <v>-0.11594202898550725</v>
      </c>
      <c r="L7" s="40">
        <v>1369</v>
      </c>
      <c r="M7" s="27">
        <v>970</v>
      </c>
      <c r="N7" s="62">
        <f>(M7-L7)/L7</f>
        <v>-0.2914536157779401</v>
      </c>
      <c r="O7" s="40">
        <v>1327</v>
      </c>
      <c r="P7" s="40">
        <v>912</v>
      </c>
      <c r="Q7" s="62">
        <f>(P7-O7)/O7</f>
        <v>-0.31273549359457425</v>
      </c>
      <c r="R7" s="40">
        <v>1344</v>
      </c>
      <c r="S7" s="40">
        <v>871</v>
      </c>
      <c r="T7" s="62">
        <f>(S7-R7)/R7</f>
        <v>-0.35193452380952384</v>
      </c>
      <c r="U7" s="40">
        <v>909</v>
      </c>
      <c r="V7" s="11">
        <v>754</v>
      </c>
      <c r="W7" s="62">
        <f>(V7-U7)/U7</f>
        <v>-0.17051705170517051</v>
      </c>
      <c r="X7" s="66">
        <v>1617</v>
      </c>
      <c r="Y7" s="66">
        <v>1038</v>
      </c>
      <c r="Z7" s="62">
        <f>(Y7-X7)/X7</f>
        <v>-0.35807050092764381</v>
      </c>
      <c r="AA7" s="66">
        <v>936</v>
      </c>
      <c r="AB7" s="66">
        <v>1158</v>
      </c>
      <c r="AC7" s="62">
        <f>(AB7-AA7)/AA7</f>
        <v>0.23717948717948717</v>
      </c>
      <c r="AD7" s="40">
        <v>1124</v>
      </c>
      <c r="AE7" s="66">
        <v>1214</v>
      </c>
      <c r="AF7" s="62">
        <f>(AE7-AD7)/AD7</f>
        <v>8.0071174377224205E-2</v>
      </c>
      <c r="AG7" s="66">
        <v>1030</v>
      </c>
      <c r="AH7" s="66">
        <v>1072</v>
      </c>
      <c r="AI7" s="62">
        <f>(AH7-AG7)/AG7</f>
        <v>4.0776699029126215E-2</v>
      </c>
      <c r="AJ7" s="46">
        <v>1119</v>
      </c>
      <c r="AK7" s="66">
        <v>1340</v>
      </c>
      <c r="AL7" s="62">
        <f>(AK7-AJ7)/AJ7</f>
        <v>0.19749776586237713</v>
      </c>
      <c r="AM7" s="67">
        <f t="shared" si="0"/>
        <v>14704</v>
      </c>
      <c r="AN7" s="67">
        <f t="shared" si="0"/>
        <v>12841</v>
      </c>
      <c r="AO7" s="42">
        <f>(AN7-AM7)/AM7</f>
        <v>-0.12670021762785635</v>
      </c>
    </row>
    <row r="8" spans="2:44">
      <c r="B8" s="20" t="s">
        <v>4</v>
      </c>
      <c r="C8" s="40">
        <v>359</v>
      </c>
      <c r="D8" s="40">
        <v>365</v>
      </c>
      <c r="E8" s="62">
        <f>(D8-C8)/C8</f>
        <v>1.6713091922005572E-2</v>
      </c>
      <c r="F8" s="40">
        <v>320</v>
      </c>
      <c r="G8" s="40">
        <v>309</v>
      </c>
      <c r="H8" s="62">
        <f>(G8-F8)/F8</f>
        <v>-3.4375000000000003E-2</v>
      </c>
      <c r="I8" s="40">
        <v>310</v>
      </c>
      <c r="J8" s="40">
        <v>314</v>
      </c>
      <c r="K8" s="62">
        <f>(J8-I8)/I8</f>
        <v>1.2903225806451613E-2</v>
      </c>
      <c r="L8" s="40">
        <v>356</v>
      </c>
      <c r="M8" s="40">
        <v>287</v>
      </c>
      <c r="N8" s="62">
        <f>(M8-L8)/L8</f>
        <v>-0.19382022471910113</v>
      </c>
      <c r="O8" s="40">
        <v>427</v>
      </c>
      <c r="P8" s="40">
        <v>257</v>
      </c>
      <c r="Q8" s="62">
        <f>(P8-O8)/O8</f>
        <v>-0.39812646370023419</v>
      </c>
      <c r="R8" s="40">
        <v>642</v>
      </c>
      <c r="S8" s="11">
        <v>239</v>
      </c>
      <c r="T8" s="62">
        <f>(S8-R8)/R8</f>
        <v>-0.62772585669781933</v>
      </c>
      <c r="U8" s="40">
        <v>179</v>
      </c>
      <c r="V8" s="11">
        <v>194</v>
      </c>
      <c r="W8" s="62">
        <f>(V8-U8)/U8</f>
        <v>8.3798882681564241E-2</v>
      </c>
      <c r="X8" s="66">
        <v>247</v>
      </c>
      <c r="Y8" s="65">
        <v>232</v>
      </c>
      <c r="Z8" s="62">
        <f>(Y8-X8)/X8</f>
        <v>-6.0728744939271252E-2</v>
      </c>
      <c r="AA8" s="40">
        <v>293</v>
      </c>
      <c r="AB8" s="65">
        <v>286</v>
      </c>
      <c r="AC8" s="62">
        <f>(AB8-AA8)/AA8</f>
        <v>-2.3890784982935155E-2</v>
      </c>
      <c r="AD8" s="40">
        <v>370</v>
      </c>
      <c r="AE8" s="66">
        <v>337</v>
      </c>
      <c r="AF8" s="62">
        <f>(AE8-AD8)/AD8</f>
        <v>-8.9189189189189194E-2</v>
      </c>
      <c r="AG8" s="66">
        <v>288</v>
      </c>
      <c r="AH8" s="66">
        <v>294</v>
      </c>
      <c r="AI8" s="62">
        <f>(AH8-AG8)/AG8</f>
        <v>2.0833333333333332E-2</v>
      </c>
      <c r="AJ8" s="46">
        <v>229</v>
      </c>
      <c r="AK8" s="66">
        <v>316</v>
      </c>
      <c r="AL8" s="62">
        <f>(AK8-AJ8)/AJ8</f>
        <v>0.37991266375545851</v>
      </c>
      <c r="AM8" s="67">
        <f t="shared" si="0"/>
        <v>4020</v>
      </c>
      <c r="AN8" s="67">
        <f t="shared" si="0"/>
        <v>3430</v>
      </c>
      <c r="AO8" s="42">
        <f>(AN8-AM8)/AM8</f>
        <v>-0.14676616915422885</v>
      </c>
    </row>
    <row r="9" spans="2:44">
      <c r="B9" s="20" t="s">
        <v>5</v>
      </c>
      <c r="C9" s="40">
        <v>47</v>
      </c>
      <c r="D9" s="40">
        <v>34</v>
      </c>
      <c r="E9" s="62">
        <f>(D9-C9)/C9</f>
        <v>-0.27659574468085107</v>
      </c>
      <c r="F9" s="40">
        <v>21</v>
      </c>
      <c r="G9" s="40">
        <v>17</v>
      </c>
      <c r="H9" s="62">
        <f>(G9-F9)/F9</f>
        <v>-0.19047619047619047</v>
      </c>
      <c r="I9" s="40">
        <v>13</v>
      </c>
      <c r="J9" s="40">
        <v>10</v>
      </c>
      <c r="K9" s="62">
        <f>(J9-I9)/I9</f>
        <v>-0.23076923076923078</v>
      </c>
      <c r="L9" s="40">
        <v>19</v>
      </c>
      <c r="M9" s="40">
        <v>6</v>
      </c>
      <c r="N9" s="62">
        <f>(M9-L9)/L9</f>
        <v>-0.68421052631578949</v>
      </c>
      <c r="O9" s="40">
        <v>23</v>
      </c>
      <c r="P9" s="40">
        <v>34</v>
      </c>
      <c r="Q9" s="62">
        <f>(P9-O9)/O9</f>
        <v>0.47826086956521741</v>
      </c>
      <c r="R9" s="11">
        <v>61</v>
      </c>
      <c r="S9" s="11">
        <v>13</v>
      </c>
      <c r="T9" s="62">
        <f>(S9-R9)/R9</f>
        <v>-0.78688524590163933</v>
      </c>
      <c r="U9" s="11">
        <v>79</v>
      </c>
      <c r="V9" s="11">
        <v>26</v>
      </c>
      <c r="W9" s="62">
        <f>(V9-U9)/U9</f>
        <v>-0.67088607594936711</v>
      </c>
      <c r="X9" s="66">
        <v>117</v>
      </c>
      <c r="Y9" s="65">
        <v>82</v>
      </c>
      <c r="Z9" s="62">
        <f>(Y9-X9)/X9</f>
        <v>-0.29914529914529914</v>
      </c>
      <c r="AA9" s="27">
        <v>29</v>
      </c>
      <c r="AB9" s="11">
        <v>20</v>
      </c>
      <c r="AC9" s="62">
        <f>(AB9-AA9)/AA9</f>
        <v>-0.31034482758620691</v>
      </c>
      <c r="AD9" s="27">
        <v>66</v>
      </c>
      <c r="AE9" s="66">
        <v>10</v>
      </c>
      <c r="AF9" s="62">
        <f>(AE9-AD9)/AD9</f>
        <v>-0.84848484848484851</v>
      </c>
      <c r="AG9" s="184">
        <v>39</v>
      </c>
      <c r="AH9" s="66">
        <v>8</v>
      </c>
      <c r="AI9" s="62">
        <f>(AH9-AG9)/AG9</f>
        <v>-0.79487179487179482</v>
      </c>
      <c r="AJ9" s="46">
        <v>79</v>
      </c>
      <c r="AK9" s="66">
        <v>24</v>
      </c>
      <c r="AL9" s="62">
        <f>(AK9-AJ9)/AJ9</f>
        <v>-0.69620253164556967</v>
      </c>
      <c r="AM9" s="67">
        <f t="shared" si="0"/>
        <v>593</v>
      </c>
      <c r="AN9" s="67">
        <f t="shared" si="0"/>
        <v>284</v>
      </c>
      <c r="AO9" s="42">
        <f>(AN9-AM9)/AM9</f>
        <v>-0.52107925801011801</v>
      </c>
    </row>
    <row r="10" spans="2:44" s="10" customFormat="1">
      <c r="B10" s="47" t="s">
        <v>7</v>
      </c>
      <c r="C10" s="16">
        <f>SUM(C6:C9)</f>
        <v>13637</v>
      </c>
      <c r="D10" s="16">
        <f>SUM(D6:D9)</f>
        <v>12471</v>
      </c>
      <c r="E10" s="63">
        <f>(D10-C10)/C10</f>
        <v>-8.5502676541761385E-2</v>
      </c>
      <c r="F10" s="16">
        <f>SUM(F6:F9)</f>
        <v>9482</v>
      </c>
      <c r="G10" s="16">
        <f>SUM(G6:G9)</f>
        <v>9615</v>
      </c>
      <c r="H10" s="63">
        <f>(G10-F10)/F10</f>
        <v>1.4026576671588272E-2</v>
      </c>
      <c r="I10" s="16">
        <f>SUM(I6:I9)</f>
        <v>10982</v>
      </c>
      <c r="J10" s="16">
        <f>SUM(J6:J9)</f>
        <v>10738</v>
      </c>
      <c r="K10" s="63">
        <f>(J10-I10)/I10</f>
        <v>-2.2218175195774903E-2</v>
      </c>
      <c r="L10" s="187">
        <f>SUM(L6:L9)</f>
        <v>11492</v>
      </c>
      <c r="M10" s="16">
        <f>SUM(M6:M9)</f>
        <v>7244</v>
      </c>
      <c r="N10" s="63">
        <f>(M10-L10)/L10</f>
        <v>-0.36964845109641492</v>
      </c>
      <c r="O10" s="16">
        <f>SUM(O6:O9)</f>
        <v>12668</v>
      </c>
      <c r="P10" s="16">
        <f>SUM(P6:P9)</f>
        <v>6313</v>
      </c>
      <c r="Q10" s="63">
        <f>(P10-O10)/O10</f>
        <v>-0.50165772023997479</v>
      </c>
      <c r="R10" s="16">
        <f>SUM(R6:R9)</f>
        <v>12586</v>
      </c>
      <c r="S10" s="16">
        <f>SUM(S6:S9)</f>
        <v>9146</v>
      </c>
      <c r="T10" s="63">
        <f>(S10-R10)/R10</f>
        <v>-0.27331956141744795</v>
      </c>
      <c r="U10" s="67">
        <f t="shared" ref="U10:AK10" si="1">SUM(U6:U9)</f>
        <v>10387</v>
      </c>
      <c r="V10" s="67">
        <f t="shared" si="1"/>
        <v>10075</v>
      </c>
      <c r="W10" s="62">
        <f>(V10-U10)/U10</f>
        <v>-3.0037546933667083E-2</v>
      </c>
      <c r="X10" s="67">
        <f t="shared" si="1"/>
        <v>11975</v>
      </c>
      <c r="Y10" s="67">
        <f t="shared" si="1"/>
        <v>9837</v>
      </c>
      <c r="Z10" s="63">
        <f>(Y10-X10)/X10</f>
        <v>-0.17853862212943633</v>
      </c>
      <c r="AA10" s="67">
        <f t="shared" si="1"/>
        <v>9697</v>
      </c>
      <c r="AB10" s="67">
        <f t="shared" si="1"/>
        <v>9888</v>
      </c>
      <c r="AC10" s="63">
        <f>(AB10-AA10)/AA10</f>
        <v>1.9696813447457977E-2</v>
      </c>
      <c r="AD10" s="67">
        <f t="shared" si="1"/>
        <v>10931</v>
      </c>
      <c r="AE10" s="67">
        <f t="shared" si="1"/>
        <v>9060</v>
      </c>
      <c r="AF10" s="63">
        <f>(AE10-AD10)/AD10</f>
        <v>-0.17116457780623914</v>
      </c>
      <c r="AG10" s="67">
        <f t="shared" si="1"/>
        <v>10040</v>
      </c>
      <c r="AH10" s="67">
        <f t="shared" si="1"/>
        <v>8748</v>
      </c>
      <c r="AI10" s="63">
        <f>(AH10-AG10)/AG10</f>
        <v>-0.12868525896414343</v>
      </c>
      <c r="AJ10" s="187">
        <f t="shared" si="1"/>
        <v>9642</v>
      </c>
      <c r="AK10" s="187">
        <f t="shared" si="1"/>
        <v>9812</v>
      </c>
      <c r="AL10" s="63">
        <f>(AK10-AJ10)/AJ10</f>
        <v>1.7631196847127151E-2</v>
      </c>
      <c r="AM10" s="67">
        <f t="shared" si="0"/>
        <v>133519</v>
      </c>
      <c r="AN10" s="67">
        <f t="shared" si="0"/>
        <v>112947</v>
      </c>
      <c r="AO10" s="39">
        <f>(AN10-AM10)/AM10</f>
        <v>-0.15407544993596417</v>
      </c>
      <c r="AQ10" s="25"/>
      <c r="AR10" s="24"/>
    </row>
    <row r="12" spans="2:44">
      <c r="B12" s="25" t="s">
        <v>22</v>
      </c>
      <c r="C12" s="86" t="s">
        <v>109</v>
      </c>
      <c r="X12" s="162"/>
      <c r="Y12" s="162"/>
      <c r="AA12" s="162"/>
      <c r="AB12" s="162"/>
      <c r="AM12" s="184"/>
    </row>
    <row r="13" spans="2:44">
      <c r="W13" s="26"/>
      <c r="X13" s="162"/>
      <c r="Y13" s="162"/>
      <c r="Z13" s="26"/>
      <c r="AA13" s="162"/>
      <c r="AB13" s="162"/>
      <c r="AC13" s="26"/>
      <c r="AD13" s="26"/>
      <c r="AE13" s="26"/>
      <c r="AF13" s="26"/>
      <c r="AG13" s="26"/>
      <c r="AH13" s="26"/>
      <c r="AI13" s="26"/>
    </row>
    <row r="14" spans="2:44">
      <c r="C14" s="26"/>
      <c r="D14" s="26"/>
      <c r="E14" s="26"/>
      <c r="F14" s="26"/>
      <c r="G14" s="26"/>
    </row>
    <row r="15" spans="2:44"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2:44">
      <c r="C16" s="27"/>
      <c r="D16" s="27"/>
      <c r="E16" s="27"/>
      <c r="F16" s="27"/>
      <c r="G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3:35">
      <c r="C17" s="27"/>
      <c r="D17" s="27"/>
      <c r="E17" s="27"/>
      <c r="F17" s="27"/>
      <c r="G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3:35">
      <c r="C18" s="27"/>
      <c r="D18" s="27"/>
      <c r="E18" s="27"/>
      <c r="F18" s="27"/>
      <c r="G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3:35">
      <c r="C19" s="27"/>
      <c r="D19" s="27"/>
      <c r="E19" s="27"/>
      <c r="F19" s="27"/>
      <c r="G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3:35">
      <c r="C20" s="27"/>
      <c r="D20" s="27"/>
      <c r="E20" s="27"/>
      <c r="F20" s="27"/>
      <c r="G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3:35">
      <c r="C21" s="27"/>
      <c r="D21" s="27"/>
      <c r="E21" s="27"/>
      <c r="F21" s="27"/>
      <c r="G21" s="27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C12" r:id="rId1" xr:uid="{D77917D0-0101-48A4-A0BD-3CE431ED7746}"/>
  </hyperlinks>
  <pageMargins left="0.7" right="0.7" top="0.78740157499999996" bottom="0.78740157499999996" header="0.3" footer="0.3"/>
  <pageSetup paperSize="9" orientation="portrait" verticalDpi="0" r:id="rId2"/>
  <ignoredErrors>
    <ignoredError sqref="C10:D10 F10:G10 L10:M10 O10:P10 R10:S10 I10:J10 U10:V10 X10:Y10 AA10:AB10 AD10:AE10 AG10:AH10 AJ10:AK10" formulaRange="1"/>
    <ignoredError sqref="E10" formula="1" formulaRange="1"/>
    <ignoredError sqref="H10 K10 N10 Q10 T10 W10 Z10 AC10" formula="1"/>
    <ignoredError sqref="AF6:AF9 AI6:AI9 AL6:AL10" evalError="1"/>
    <ignoredError sqref="AF10 AI10" evalError="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A8345-1AA3-4B34-B314-7790BB8A8FD3}">
  <dimension ref="A1:AR21"/>
  <sheetViews>
    <sheetView topLeftCell="B1" zoomScaleNormal="100" workbookViewId="0">
      <pane xSplit="1" topLeftCell="AE1" activePane="topRight" state="frozen"/>
      <selection activeCell="B1" sqref="B1"/>
      <selection pane="topRight" activeCell="AM12" sqref="AM12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3" width="8.7109375" style="25" customWidth="1"/>
    <col min="4" max="4" width="9" style="25" customWidth="1"/>
    <col min="5" max="5" width="11.5703125" style="25" customWidth="1"/>
    <col min="6" max="6" width="9.140625" style="25" customWidth="1"/>
    <col min="7" max="7" width="10.140625" style="25" customWidth="1"/>
    <col min="8" max="8" width="10.85546875" style="25" customWidth="1"/>
    <col min="9" max="9" width="9.7109375" style="25" customWidth="1"/>
    <col min="10" max="10" width="9.42578125" style="25" customWidth="1"/>
    <col min="11" max="12" width="10" style="25" customWidth="1"/>
    <col min="13" max="13" width="9.7109375" style="25" customWidth="1"/>
    <col min="14" max="14" width="11.140625" style="25" customWidth="1"/>
    <col min="15" max="15" width="8.85546875" style="25" customWidth="1"/>
    <col min="16" max="16" width="10.42578125" style="25" customWidth="1"/>
    <col min="17" max="17" width="10.140625" style="25" bestFit="1" customWidth="1"/>
    <col min="18" max="18" width="10.42578125" style="25" customWidth="1"/>
    <col min="19" max="19" width="11.42578125" style="25" customWidth="1"/>
    <col min="20" max="20" width="11.42578125" style="25"/>
    <col min="21" max="21" width="10.42578125" style="25" customWidth="1"/>
    <col min="22" max="22" width="10.5703125" style="25" customWidth="1"/>
    <col min="23" max="34" width="11.42578125" style="25"/>
    <col min="35" max="35" width="10.42578125" style="25" customWidth="1"/>
    <col min="36" max="16384" width="11.42578125" style="25"/>
  </cols>
  <sheetData>
    <row r="1" spans="2:44">
      <c r="B1" s="10" t="s">
        <v>57</v>
      </c>
    </row>
    <row r="2" spans="2:44">
      <c r="B2" s="53"/>
      <c r="S2" s="27"/>
    </row>
    <row r="4" spans="2:44" ht="45" customHeight="1">
      <c r="B4" s="11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1" t="s">
        <v>29</v>
      </c>
      <c r="AN4" s="232"/>
      <c r="AO4" s="237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8" t="s">
        <v>34</v>
      </c>
      <c r="I5" s="12">
        <v>2019</v>
      </c>
      <c r="J5" s="12">
        <v>2020</v>
      </c>
      <c r="K5" s="28" t="s">
        <v>34</v>
      </c>
      <c r="L5" s="12">
        <v>2019</v>
      </c>
      <c r="M5" s="12">
        <v>2020</v>
      </c>
      <c r="N5" s="28" t="s">
        <v>34</v>
      </c>
      <c r="O5" s="12">
        <v>2019</v>
      </c>
      <c r="P5" s="12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2">
        <v>2019</v>
      </c>
      <c r="AN5" s="12">
        <v>2020</v>
      </c>
      <c r="AO5" s="238"/>
    </row>
    <row r="6" spans="2:44">
      <c r="B6" s="20" t="s">
        <v>6</v>
      </c>
      <c r="C6" s="40">
        <v>155079</v>
      </c>
      <c r="D6" s="40">
        <v>134229</v>
      </c>
      <c r="E6" s="62">
        <f>(D6-C6)/C6</f>
        <v>-0.13444760412434953</v>
      </c>
      <c r="F6" s="40">
        <v>172438</v>
      </c>
      <c r="G6" s="40">
        <v>167782</v>
      </c>
      <c r="H6" s="62">
        <f>(G6-F6)/F6</f>
        <v>-2.700100905832821E-2</v>
      </c>
      <c r="I6" s="40">
        <v>225818</v>
      </c>
      <c r="J6" s="40">
        <v>62668</v>
      </c>
      <c r="K6" s="62">
        <f>(J6-I6)/I6</f>
        <v>-0.722484478650949</v>
      </c>
      <c r="L6" s="40">
        <v>188195</v>
      </c>
      <c r="M6" s="40">
        <v>20997</v>
      </c>
      <c r="N6" s="62">
        <f>(M6-L6)/L6</f>
        <v>-0.88842955445149974</v>
      </c>
      <c r="O6" s="40">
        <v>193948</v>
      </c>
      <c r="P6" s="40">
        <v>96308</v>
      </c>
      <c r="Q6" s="62">
        <f>(P6-O6)/O6</f>
        <v>-0.50343391012023841</v>
      </c>
      <c r="R6" s="40">
        <v>230964</v>
      </c>
      <c r="S6" s="40">
        <v>233820</v>
      </c>
      <c r="T6" s="62">
        <f>(S6-R6)/R6</f>
        <v>1.2365563464436015E-2</v>
      </c>
      <c r="U6" s="40">
        <v>172225</v>
      </c>
      <c r="V6" s="40">
        <v>178982</v>
      </c>
      <c r="W6" s="62">
        <f>(V6-U6)/U6</f>
        <v>3.923356074902018E-2</v>
      </c>
      <c r="X6" s="40">
        <v>129257</v>
      </c>
      <c r="Y6" s="66">
        <v>103631</v>
      </c>
      <c r="Z6" s="62">
        <f>(Y6-X6)/X6</f>
        <v>-0.19825618728579497</v>
      </c>
      <c r="AA6" s="40">
        <v>173444</v>
      </c>
      <c r="AB6" s="66">
        <v>168290</v>
      </c>
      <c r="AC6" s="62">
        <f>(AB6-AA6)/AA6</f>
        <v>-2.9715643089412144E-2</v>
      </c>
      <c r="AD6" s="40">
        <v>188987</v>
      </c>
      <c r="AE6" s="66">
        <v>171049</v>
      </c>
      <c r="AF6" s="62">
        <f>(AE6-AD6)/AD6</f>
        <v>-9.4916581563811261E-2</v>
      </c>
      <c r="AG6" s="40">
        <v>172731</v>
      </c>
      <c r="AH6" s="66">
        <v>126047</v>
      </c>
      <c r="AI6" s="62">
        <f>(AH6-AG6)/AG6</f>
        <v>-0.27026995733249964</v>
      </c>
      <c r="AJ6" s="46">
        <v>211194</v>
      </c>
      <c r="AK6" s="66">
        <v>186323</v>
      </c>
      <c r="AL6" s="62">
        <f>(AK6-AJ6)/AJ6</f>
        <v>-0.11776376222809361</v>
      </c>
      <c r="AM6" s="67">
        <f t="shared" ref="AM6:AN9" si="0">C6+F6+I6+L6+O6+R6+U6+X6+AA6+AD6+AG6+AJ6</f>
        <v>2214280</v>
      </c>
      <c r="AN6" s="67">
        <f t="shared" si="0"/>
        <v>1650126</v>
      </c>
      <c r="AO6" s="42">
        <f>(AN6-AM6)/AM6</f>
        <v>-0.25477988330292467</v>
      </c>
    </row>
    <row r="7" spans="2:44">
      <c r="B7" s="20" t="s">
        <v>3</v>
      </c>
      <c r="C7" s="40">
        <v>35675</v>
      </c>
      <c r="D7" s="40">
        <v>32370</v>
      </c>
      <c r="E7" s="62">
        <f>(D7-C7)/C7</f>
        <v>-9.2641906096706375E-2</v>
      </c>
      <c r="F7" s="40">
        <v>38088</v>
      </c>
      <c r="G7" s="40">
        <v>39232</v>
      </c>
      <c r="H7" s="62">
        <f>(G7-F7)/F7</f>
        <v>3.0035706784289014E-2</v>
      </c>
      <c r="I7" s="40">
        <v>47888</v>
      </c>
      <c r="J7" s="40">
        <v>16856</v>
      </c>
      <c r="K7" s="62">
        <f>(J7-I7)/I7</f>
        <v>-0.64801202806548619</v>
      </c>
      <c r="L7" s="40">
        <v>43658</v>
      </c>
      <c r="M7" s="27">
        <v>7051</v>
      </c>
      <c r="N7" s="62">
        <f>(M7-L7)/L7</f>
        <v>-0.83849466306289799</v>
      </c>
      <c r="O7" s="40">
        <v>41139</v>
      </c>
      <c r="P7" s="40">
        <v>27641</v>
      </c>
      <c r="Q7" s="62">
        <f>(P7-O7)/O7</f>
        <v>-0.32810714893410148</v>
      </c>
      <c r="R7" s="40">
        <v>48289</v>
      </c>
      <c r="S7" s="40">
        <v>52017</v>
      </c>
      <c r="T7" s="62">
        <f>(S7-R7)/R7</f>
        <v>7.7201847211580271E-2</v>
      </c>
      <c r="U7" s="40">
        <v>39074</v>
      </c>
      <c r="V7" s="40">
        <v>39925</v>
      </c>
      <c r="W7" s="62">
        <f>(V7-U7)/U7</f>
        <v>2.1779188206991863E-2</v>
      </c>
      <c r="X7" s="40">
        <v>26347</v>
      </c>
      <c r="Y7" s="66">
        <v>25831</v>
      </c>
      <c r="Z7" s="62">
        <f>(Y7-X7)/X7</f>
        <v>-1.9584772459862603E-2</v>
      </c>
      <c r="AA7" s="40">
        <v>35933</v>
      </c>
      <c r="AB7" s="66">
        <v>41992</v>
      </c>
      <c r="AC7" s="62">
        <f>(AB7-AA7)/AA7</f>
        <v>0.16861937494781956</v>
      </c>
      <c r="AD7" s="40">
        <v>41779</v>
      </c>
      <c r="AE7" s="66">
        <v>40075</v>
      </c>
      <c r="AF7" s="62">
        <f>(AE7-AD7)/AD7</f>
        <v>-4.0786040833911776E-2</v>
      </c>
      <c r="AG7" s="40">
        <v>37588</v>
      </c>
      <c r="AH7" s="66">
        <v>36127</v>
      </c>
      <c r="AI7" s="62">
        <f>(AH7-AG7)/AG7</f>
        <v>-3.8868787911035436E-2</v>
      </c>
      <c r="AJ7" s="46">
        <v>44211</v>
      </c>
      <c r="AK7" s="66">
        <v>43261</v>
      </c>
      <c r="AL7" s="62">
        <f>(AK7-AJ7)/AJ7</f>
        <v>-2.1487865010970119E-2</v>
      </c>
      <c r="AM7" s="67">
        <f t="shared" si="0"/>
        <v>479669</v>
      </c>
      <c r="AN7" s="67">
        <f t="shared" si="0"/>
        <v>402378</v>
      </c>
      <c r="AO7" s="42">
        <f>(AN7-AM7)/AM7</f>
        <v>-0.16113403200957327</v>
      </c>
    </row>
    <row r="8" spans="2:44">
      <c r="B8" s="20" t="s">
        <v>4</v>
      </c>
      <c r="C8" s="40">
        <v>4529</v>
      </c>
      <c r="D8" s="40">
        <v>3974</v>
      </c>
      <c r="E8" s="62">
        <f>(D8-C8)/C8</f>
        <v>-0.12254360786045485</v>
      </c>
      <c r="F8" s="40">
        <v>4376</v>
      </c>
      <c r="G8" s="40">
        <v>3781</v>
      </c>
      <c r="H8" s="62">
        <f>(G8-F8)/F8</f>
        <v>-0.1359689213893967</v>
      </c>
      <c r="I8" s="40">
        <v>5192</v>
      </c>
      <c r="J8" s="40">
        <v>2630</v>
      </c>
      <c r="K8" s="62">
        <f>(J8-I8)/I8</f>
        <v>-0.49345146379044685</v>
      </c>
      <c r="L8" s="40">
        <v>5308</v>
      </c>
      <c r="M8" s="40">
        <v>1489</v>
      </c>
      <c r="N8" s="62">
        <f>(M8-L8)/L8</f>
        <v>-0.71948003014318007</v>
      </c>
      <c r="O8" s="40">
        <v>5972</v>
      </c>
      <c r="P8" s="40">
        <v>3103</v>
      </c>
      <c r="Q8" s="62">
        <f>(P8-O8)/O8</f>
        <v>-0.48040857334226389</v>
      </c>
      <c r="R8" s="40">
        <v>7116</v>
      </c>
      <c r="S8" s="66">
        <v>4622</v>
      </c>
      <c r="T8" s="62">
        <f>(S8-R8)/R8</f>
        <v>-0.35047779651489602</v>
      </c>
      <c r="U8" s="90">
        <v>4043</v>
      </c>
      <c r="V8" s="40">
        <v>3884</v>
      </c>
      <c r="W8" s="62">
        <f>(V8-U8)/U8</f>
        <v>-3.9327232253277271E-2</v>
      </c>
      <c r="X8" s="40">
        <v>2090</v>
      </c>
      <c r="Y8" s="66">
        <v>1978</v>
      </c>
      <c r="Z8" s="62">
        <f>(Y8-X8)/X8</f>
        <v>-5.3588516746411484E-2</v>
      </c>
      <c r="AA8" s="40">
        <v>4040</v>
      </c>
      <c r="AB8" s="66">
        <v>4007</v>
      </c>
      <c r="AC8" s="62">
        <f>(AB8-AA8)/AA8</f>
        <v>-8.1683168316831686E-3</v>
      </c>
      <c r="AD8" s="40">
        <v>4555</v>
      </c>
      <c r="AE8" s="66">
        <v>4068</v>
      </c>
      <c r="AF8" s="62">
        <f>(AE8-AD8)/AD8</f>
        <v>-0.10691547749725576</v>
      </c>
      <c r="AG8" s="40">
        <v>4136</v>
      </c>
      <c r="AH8" s="66">
        <v>4197</v>
      </c>
      <c r="AI8" s="62">
        <f>(AH8-AG8)/AG8</f>
        <v>1.4748549323017408E-2</v>
      </c>
      <c r="AJ8" s="46">
        <v>3970</v>
      </c>
      <c r="AK8" s="66">
        <v>4010</v>
      </c>
      <c r="AL8" s="62">
        <f>(AK8-AJ8)/AJ8</f>
        <v>1.0075566750629723E-2</v>
      </c>
      <c r="AM8" s="67">
        <f t="shared" si="0"/>
        <v>55327</v>
      </c>
      <c r="AN8" s="67">
        <f t="shared" si="0"/>
        <v>41743</v>
      </c>
      <c r="AO8" s="42">
        <f>(AN8-AM8)/AM8</f>
        <v>-0.24552207782818516</v>
      </c>
    </row>
    <row r="9" spans="2:44">
      <c r="B9" s="20" t="s">
        <v>5</v>
      </c>
      <c r="C9" s="40">
        <v>464</v>
      </c>
      <c r="D9" s="40">
        <v>616</v>
      </c>
      <c r="E9" s="62">
        <f>(D9-C9)/C9</f>
        <v>0.32758620689655171</v>
      </c>
      <c r="F9" s="40">
        <v>360</v>
      </c>
      <c r="G9" s="40">
        <v>480</v>
      </c>
      <c r="H9" s="62">
        <f>(G9-F9)/F9</f>
        <v>0.33333333333333331</v>
      </c>
      <c r="I9" s="40">
        <v>406</v>
      </c>
      <c r="J9" s="40">
        <v>247</v>
      </c>
      <c r="K9" s="62">
        <f>(J9-I9)/I9</f>
        <v>-0.39162561576354682</v>
      </c>
      <c r="L9" s="40">
        <v>327</v>
      </c>
      <c r="M9" s="40">
        <v>112</v>
      </c>
      <c r="N9" s="62">
        <f>(M9-L9)/L9</f>
        <v>-0.65749235474006118</v>
      </c>
      <c r="O9" s="40">
        <v>527</v>
      </c>
      <c r="P9" s="40">
        <v>210</v>
      </c>
      <c r="Q9" s="62">
        <f>(P9-O9)/O9</f>
        <v>-0.60151802656546494</v>
      </c>
      <c r="R9" s="11">
        <v>622</v>
      </c>
      <c r="S9" s="99">
        <v>599</v>
      </c>
      <c r="T9" s="91">
        <f>(S9-R9)/R9</f>
        <v>-3.6977491961414789E-2</v>
      </c>
      <c r="U9" s="40">
        <v>558</v>
      </c>
      <c r="V9" s="40">
        <v>570</v>
      </c>
      <c r="W9" s="62">
        <f>(V9-U9)/U9</f>
        <v>2.1505376344086023E-2</v>
      </c>
      <c r="X9" s="40">
        <v>1029</v>
      </c>
      <c r="Y9" s="11">
        <v>735</v>
      </c>
      <c r="Z9" s="62">
        <f>(Y9-X9)/X9</f>
        <v>-0.2857142857142857</v>
      </c>
      <c r="AA9" s="27">
        <v>468</v>
      </c>
      <c r="AB9" s="11">
        <v>533</v>
      </c>
      <c r="AC9" s="62">
        <f>(AB9-AA9)/AA9</f>
        <v>0.1388888888888889</v>
      </c>
      <c r="AD9" s="27">
        <v>563</v>
      </c>
      <c r="AE9" s="90">
        <v>627</v>
      </c>
      <c r="AF9" s="62">
        <f>(AE9-AD9)/AD9</f>
        <v>0.11367673179396093</v>
      </c>
      <c r="AG9" s="27">
        <v>427</v>
      </c>
      <c r="AH9" s="90">
        <v>519</v>
      </c>
      <c r="AI9" s="62">
        <f>(AH9-AG9)/AG9</f>
        <v>0.21545667447306791</v>
      </c>
      <c r="AJ9" s="46">
        <v>701</v>
      </c>
      <c r="AK9" s="90">
        <v>563</v>
      </c>
      <c r="AL9" s="62">
        <f>(AK9-AJ9)/AJ9</f>
        <v>-0.19686162624821682</v>
      </c>
      <c r="AM9" s="67">
        <f t="shared" si="0"/>
        <v>6452</v>
      </c>
      <c r="AN9" s="67">
        <f t="shared" si="0"/>
        <v>5811</v>
      </c>
      <c r="AO9" s="42">
        <f>(AN9-AM9)/AM9</f>
        <v>-9.9349039057656546E-2</v>
      </c>
    </row>
    <row r="10" spans="2:44" s="10" customFormat="1">
      <c r="B10" s="47" t="s">
        <v>7</v>
      </c>
      <c r="C10" s="16">
        <f>SUM(C6:C9)</f>
        <v>195747</v>
      </c>
      <c r="D10" s="16">
        <f>SUM(D6:D9)</f>
        <v>171189</v>
      </c>
      <c r="E10" s="63">
        <f>(D10-C10)/C10</f>
        <v>-0.12545786142316356</v>
      </c>
      <c r="F10" s="16">
        <f>SUM(F6:F9)</f>
        <v>215262</v>
      </c>
      <c r="G10" s="16">
        <f>SUM(G6:G9)</f>
        <v>211275</v>
      </c>
      <c r="H10" s="63">
        <f>(G10-F10)/F10</f>
        <v>-1.852161551969228E-2</v>
      </c>
      <c r="I10" s="16">
        <f>SUM(I6:I9)</f>
        <v>279304</v>
      </c>
      <c r="J10" s="16">
        <f>SUM(J6:J9)</f>
        <v>82401</v>
      </c>
      <c r="K10" s="63">
        <f>(J10-I10)/I10</f>
        <v>-0.70497737232549484</v>
      </c>
      <c r="L10" s="187">
        <f>SUM(L6:L9)</f>
        <v>237488</v>
      </c>
      <c r="M10" s="16">
        <f>SUM(M6:M9)</f>
        <v>29649</v>
      </c>
      <c r="N10" s="63">
        <f>(M10-L10)/L10</f>
        <v>-0.87515579734555005</v>
      </c>
      <c r="O10" s="16">
        <f>SUM(O6:O9)</f>
        <v>241586</v>
      </c>
      <c r="P10" s="16">
        <f>SUM(P6:P9)</f>
        <v>127262</v>
      </c>
      <c r="Q10" s="63">
        <f>(P10-O10)/O10</f>
        <v>-0.47322278608859786</v>
      </c>
      <c r="R10" s="16">
        <f>SUM(R6:R9)</f>
        <v>286991</v>
      </c>
      <c r="S10" s="16">
        <f>SUM(S6:S9)</f>
        <v>291058</v>
      </c>
      <c r="T10" s="63">
        <f>(S10-R10)/R10</f>
        <v>1.4171176099598943E-2</v>
      </c>
      <c r="U10" s="67">
        <f>SUM(U6:U9)</f>
        <v>215900</v>
      </c>
      <c r="V10" s="67">
        <f>SUM(V6:V9)</f>
        <v>223361</v>
      </c>
      <c r="W10" s="63">
        <f>(V10-U10)/U10</f>
        <v>3.4557665585919405E-2</v>
      </c>
      <c r="X10" s="67">
        <f>SUM(X6:X9)</f>
        <v>158723</v>
      </c>
      <c r="Y10" s="67">
        <f>SUM(Y6:Y9)</f>
        <v>132175</v>
      </c>
      <c r="Z10" s="63">
        <f>(Y10-X10)/X10</f>
        <v>-0.16725994342344841</v>
      </c>
      <c r="AA10" s="67">
        <f>SUM(AA6:AA9)</f>
        <v>213885</v>
      </c>
      <c r="AB10" s="67">
        <f>SUM(AB6:AB9)</f>
        <v>214822</v>
      </c>
      <c r="AC10" s="63">
        <f>(AB10-AA10)/AA10</f>
        <v>4.3808588727587252E-3</v>
      </c>
      <c r="AD10" s="67">
        <f>SUM(AD6:AD9)</f>
        <v>235884</v>
      </c>
      <c r="AE10" s="67">
        <f>SUM(AE6:AE9)</f>
        <v>215819</v>
      </c>
      <c r="AF10" s="63">
        <f>(AE10-AD10)/AD10</f>
        <v>-8.5062997066354645E-2</v>
      </c>
      <c r="AG10" s="67">
        <f>SUM(AG6:AG9)</f>
        <v>214882</v>
      </c>
      <c r="AH10" s="67">
        <f>SUM(AH6:AH9)</f>
        <v>166890</v>
      </c>
      <c r="AI10" s="63">
        <f>(AH10-AG10)/AG10</f>
        <v>-0.22334118260254465</v>
      </c>
      <c r="AJ10" s="187">
        <f>SUM(AJ6:AJ9)</f>
        <v>260076</v>
      </c>
      <c r="AK10" s="187">
        <f>SUM(AK6:AK9)</f>
        <v>234157</v>
      </c>
      <c r="AL10" s="63">
        <f>(AK10-AJ10)/AJ10</f>
        <v>-9.9659330349590125E-2</v>
      </c>
      <c r="AM10" s="67">
        <f>C10+F10+I10+L10+O10+R10+U10+X10+AA10+AD10+AG10+AJ10</f>
        <v>2755728</v>
      </c>
      <c r="AN10" s="67">
        <f>D10+G10+J10+M10+P10+S10+V10+Y10+AB10+AE10+AH10+AK10</f>
        <v>2100058</v>
      </c>
      <c r="AO10" s="39">
        <f>(AN10-AM10)/AM10</f>
        <v>-0.23792986825985729</v>
      </c>
      <c r="AQ10" s="25"/>
      <c r="AR10" s="24"/>
    </row>
    <row r="12" spans="2:44">
      <c r="B12" s="25" t="s">
        <v>58</v>
      </c>
      <c r="C12" s="86" t="s">
        <v>110</v>
      </c>
      <c r="R12" s="86"/>
      <c r="AM12" s="81"/>
      <c r="AN12" s="81"/>
    </row>
    <row r="13" spans="2:44">
      <c r="C13" s="86" t="s">
        <v>111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184"/>
      <c r="AJ13" s="184"/>
      <c r="AK13" s="184"/>
      <c r="AL13" s="184"/>
      <c r="AM13" s="184"/>
    </row>
    <row r="14" spans="2:44">
      <c r="B14" s="117"/>
      <c r="C14" s="26"/>
      <c r="D14" s="26"/>
      <c r="E14" s="26"/>
      <c r="F14" s="26"/>
      <c r="G14" s="26"/>
      <c r="AI14" s="184"/>
      <c r="AJ14" s="184"/>
      <c r="AK14" s="184"/>
      <c r="AL14" s="184"/>
      <c r="AM14" s="184"/>
    </row>
    <row r="15" spans="2:44"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184"/>
      <c r="AJ15" s="184"/>
      <c r="AK15" s="184"/>
      <c r="AL15" s="184"/>
      <c r="AM15" s="184"/>
    </row>
    <row r="16" spans="2:44">
      <c r="C16" s="27"/>
      <c r="D16" s="27"/>
      <c r="E16" s="27"/>
      <c r="F16" s="27"/>
      <c r="G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184"/>
      <c r="AJ16" s="184"/>
      <c r="AK16" s="184"/>
      <c r="AL16" s="184"/>
      <c r="AM16" s="184"/>
    </row>
    <row r="17" spans="3:39">
      <c r="C17" s="27"/>
      <c r="D17" s="27"/>
      <c r="E17" s="27"/>
      <c r="F17" s="27"/>
      <c r="G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184"/>
      <c r="AJ17" s="184"/>
      <c r="AK17" s="184"/>
      <c r="AL17" s="184"/>
      <c r="AM17" s="184"/>
    </row>
    <row r="18" spans="3:39">
      <c r="C18" s="27"/>
      <c r="D18" s="27"/>
      <c r="E18" s="27"/>
      <c r="F18" s="27"/>
      <c r="G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184"/>
      <c r="AJ18" s="184"/>
      <c r="AK18" s="184"/>
      <c r="AL18" s="184"/>
      <c r="AM18" s="184"/>
    </row>
    <row r="19" spans="3:39">
      <c r="C19" s="27"/>
      <c r="D19" s="27"/>
      <c r="E19" s="27"/>
      <c r="F19" s="27"/>
      <c r="G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184"/>
      <c r="AJ19" s="184"/>
      <c r="AK19" s="184"/>
      <c r="AL19" s="184"/>
      <c r="AM19" s="184"/>
    </row>
    <row r="20" spans="3:39">
      <c r="C20" s="27"/>
      <c r="D20" s="27"/>
      <c r="E20" s="27"/>
      <c r="F20" s="27"/>
      <c r="G20" s="27"/>
      <c r="K20" s="64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184"/>
      <c r="AJ20" s="184"/>
      <c r="AK20" s="184"/>
      <c r="AL20" s="184"/>
      <c r="AM20" s="184"/>
    </row>
    <row r="21" spans="3:39">
      <c r="C21" s="27"/>
      <c r="D21" s="27"/>
      <c r="E21" s="27"/>
      <c r="F21" s="27"/>
      <c r="G21" s="27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C12" r:id="rId1" xr:uid="{22C45033-FA5A-483C-9442-08678C03A8B3}"/>
    <hyperlink ref="C13" r:id="rId2" xr:uid="{D702863A-7867-4622-BC73-1537D0766D64}"/>
  </hyperlinks>
  <pageMargins left="0.7" right="0.7" top="0.78740157499999996" bottom="0.78740157499999996" header="0.3" footer="0.3"/>
  <pageSetup paperSize="9" orientation="portrait" verticalDpi="0" r:id="rId3"/>
  <ignoredErrors>
    <ignoredError sqref="C10:D10 L10:M10 O10:P10 R10:S10 U10:V10 X10:Y10 AA10:AB10 AD10:AE10 AG10:AH10 AJ10:AK10" formulaRange="1"/>
    <ignoredError sqref="E10 H10 K10 N10 Q10 T10 W10 AI10" formula="1"/>
    <ignoredError sqref="F10:G10 I10:J10" formula="1" formulaRange="1"/>
    <ignoredError sqref="Z7:Z9 AC6:AC9 AF6:AF9 AL6:AL10" evalError="1"/>
    <ignoredError sqref="Z10 AC10 AF10" evalError="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04E86-972B-46D3-B6E5-B61C458B9D61}">
  <dimension ref="A1:AR23"/>
  <sheetViews>
    <sheetView topLeftCell="B1" zoomScaleNormal="100" workbookViewId="0">
      <pane xSplit="1" topLeftCell="AE1" activePane="topRight" state="frozen"/>
      <selection activeCell="B1" sqref="B1"/>
      <selection pane="topRight" activeCell="AM12" sqref="AM12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4" width="7.5703125" style="25" bestFit="1" customWidth="1"/>
    <col min="5" max="5" width="11.5703125" style="25" customWidth="1"/>
    <col min="6" max="6" width="7.5703125" style="25" bestFit="1" customWidth="1"/>
    <col min="7" max="7" width="10.140625" style="25" customWidth="1"/>
    <col min="8" max="8" width="10.85546875" style="25" customWidth="1"/>
    <col min="9" max="9" width="9.7109375" style="25" customWidth="1"/>
    <col min="10" max="10" width="9.42578125" style="25" customWidth="1"/>
    <col min="11" max="12" width="10" style="25" customWidth="1"/>
    <col min="13" max="13" width="9.7109375" style="25" customWidth="1"/>
    <col min="14" max="14" width="11.140625" style="25" customWidth="1"/>
    <col min="15" max="15" width="8.85546875" style="25" customWidth="1"/>
    <col min="16" max="16" width="10.42578125" style="25" customWidth="1"/>
    <col min="17" max="17" width="10.140625" style="25" bestFit="1" customWidth="1"/>
    <col min="18" max="18" width="8.7109375" style="25" customWidth="1"/>
    <col min="19" max="19" width="9.5703125" style="25" customWidth="1"/>
    <col min="20" max="21" width="11.42578125" style="25"/>
    <col min="22" max="22" width="10.5703125" style="25" customWidth="1"/>
    <col min="23" max="16384" width="11.42578125" style="25"/>
  </cols>
  <sheetData>
    <row r="1" spans="2:44">
      <c r="B1" s="10" t="s">
        <v>17</v>
      </c>
    </row>
    <row r="2" spans="2:44">
      <c r="B2" s="53"/>
      <c r="S2" s="27"/>
    </row>
    <row r="4" spans="2:44" ht="45" customHeight="1">
      <c r="B4" s="11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1" t="s">
        <v>29</v>
      </c>
      <c r="AN4" s="232"/>
      <c r="AO4" s="237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8" t="s">
        <v>34</v>
      </c>
      <c r="I5" s="12">
        <v>2019</v>
      </c>
      <c r="J5" s="12">
        <v>2020</v>
      </c>
      <c r="K5" s="28" t="s">
        <v>34</v>
      </c>
      <c r="L5" s="12">
        <v>2019</v>
      </c>
      <c r="M5" s="12">
        <v>2020</v>
      </c>
      <c r="N5" s="28" t="s">
        <v>34</v>
      </c>
      <c r="O5" s="12">
        <v>2019</v>
      </c>
      <c r="P5" s="12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28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2">
        <v>2019</v>
      </c>
      <c r="AN5" s="12">
        <v>2020</v>
      </c>
      <c r="AO5" s="238"/>
    </row>
    <row r="6" spans="2:44">
      <c r="B6" s="20" t="s">
        <v>6</v>
      </c>
      <c r="C6" s="11">
        <v>265702</v>
      </c>
      <c r="D6" s="40">
        <v>246300</v>
      </c>
      <c r="E6" s="62">
        <f>(D6-C6)/C6</f>
        <v>-7.3021655840001198E-2</v>
      </c>
      <c r="F6" s="40">
        <v>268867</v>
      </c>
      <c r="G6" s="40">
        <v>239943</v>
      </c>
      <c r="H6" s="62">
        <f>(G6-F6)/F6</f>
        <v>-0.10757735237124676</v>
      </c>
      <c r="I6" s="40">
        <v>345523</v>
      </c>
      <c r="J6" s="40">
        <v>215119</v>
      </c>
      <c r="K6" s="62">
        <f>(J6-I6)/I6</f>
        <v>-0.37741047629246099</v>
      </c>
      <c r="L6" s="40">
        <v>310715</v>
      </c>
      <c r="M6" s="40">
        <v>120840</v>
      </c>
      <c r="N6" s="62">
        <f>(M6-L6)/L6</f>
        <v>-0.61109054921712824</v>
      </c>
      <c r="O6" s="40">
        <v>332962</v>
      </c>
      <c r="P6" s="58">
        <v>168148</v>
      </c>
      <c r="Q6" s="62">
        <f>(P6-O6)/O6</f>
        <v>-0.49499342267285756</v>
      </c>
      <c r="R6" s="40">
        <v>325231</v>
      </c>
      <c r="S6" s="40">
        <v>220272</v>
      </c>
      <c r="T6" s="62">
        <f>(S6-R6)/R6</f>
        <v>-0.32272138879750084</v>
      </c>
      <c r="U6" s="40">
        <v>332788</v>
      </c>
      <c r="V6" s="40">
        <v>314938</v>
      </c>
      <c r="W6" s="62">
        <f>(V6-U6)/U6</f>
        <v>-5.3637751361226969E-2</v>
      </c>
      <c r="X6" s="40">
        <v>313748</v>
      </c>
      <c r="Y6" s="66">
        <v>251044</v>
      </c>
      <c r="Z6" s="62">
        <f>(Y6-X6)/X6</f>
        <v>-0.19985466042811428</v>
      </c>
      <c r="AA6" s="40">
        <v>244622</v>
      </c>
      <c r="AB6" s="66">
        <v>265227</v>
      </c>
      <c r="AC6" s="62">
        <f>(AB6-AA6)/AA6</f>
        <v>8.4231998757266308E-2</v>
      </c>
      <c r="AD6" s="40">
        <v>284593</v>
      </c>
      <c r="AE6" s="40">
        <v>274303</v>
      </c>
      <c r="AF6" s="62">
        <f>(AE6-AD6)/AD6</f>
        <v>-3.615689774520104E-2</v>
      </c>
      <c r="AG6" s="66">
        <v>299127</v>
      </c>
      <c r="AH6" s="66">
        <v>290150</v>
      </c>
      <c r="AI6" s="62">
        <f>(AH6-AG6)/AG6</f>
        <v>-3.0010664366640256E-2</v>
      </c>
      <c r="AJ6" s="40">
        <v>283380</v>
      </c>
      <c r="AK6" s="40">
        <v>311394</v>
      </c>
      <c r="AL6" s="62">
        <f>(AK6-AJ6)/AJ6</f>
        <v>9.8856658903239469E-2</v>
      </c>
      <c r="AM6" s="67">
        <f t="shared" ref="AM6:AN10" si="0">C6+F6+I6+L6+O6+R6+U6+X6+AA6+AD6+AG6+AJ6</f>
        <v>3607258</v>
      </c>
      <c r="AN6" s="67">
        <f t="shared" si="0"/>
        <v>2917678</v>
      </c>
      <c r="AO6" s="42">
        <f>(AN6-AM6)/AM6</f>
        <v>-0.19116459094414651</v>
      </c>
    </row>
    <row r="7" spans="2:44">
      <c r="B7" s="20" t="s">
        <v>3</v>
      </c>
      <c r="C7" s="11">
        <v>22194</v>
      </c>
      <c r="D7" s="40">
        <v>21539</v>
      </c>
      <c r="E7" s="62">
        <f>(D7-C7)/C7</f>
        <v>-2.9512480850680364E-2</v>
      </c>
      <c r="F7" s="40">
        <v>22339</v>
      </c>
      <c r="G7" s="40">
        <v>21488</v>
      </c>
      <c r="H7" s="62">
        <f>(G7-F7)/F7</f>
        <v>-3.809481176417924E-2</v>
      </c>
      <c r="I7" s="40">
        <v>27939</v>
      </c>
      <c r="J7" s="40">
        <v>20876</v>
      </c>
      <c r="K7" s="62">
        <f>(J7-I7)/I7</f>
        <v>-0.2528007444790436</v>
      </c>
      <c r="L7" s="40">
        <v>25854</v>
      </c>
      <c r="M7" s="27">
        <v>13718</v>
      </c>
      <c r="N7" s="62">
        <f>(M7-L7)/L7</f>
        <v>-0.46940512106443877</v>
      </c>
      <c r="O7" s="40">
        <v>28930</v>
      </c>
      <c r="P7" s="58">
        <v>15761</v>
      </c>
      <c r="Q7" s="62">
        <f>(P7-O7)/O7</f>
        <v>-0.45520221223643276</v>
      </c>
      <c r="R7" s="40">
        <v>25569</v>
      </c>
      <c r="S7" s="40">
        <v>21040</v>
      </c>
      <c r="T7" s="62">
        <f>(S7-R7)/R7</f>
        <v>-0.17712855410849074</v>
      </c>
      <c r="U7" s="40">
        <v>26801</v>
      </c>
      <c r="V7" s="40">
        <v>25140</v>
      </c>
      <c r="W7" s="62">
        <f>(V7-U7)/U7</f>
        <v>-6.1975299429125781E-2</v>
      </c>
      <c r="X7" s="40">
        <v>30616</v>
      </c>
      <c r="Y7" s="40">
        <v>23840</v>
      </c>
      <c r="Z7" s="62">
        <f>(Y7-X7)/X7</f>
        <v>-0.22132218447870394</v>
      </c>
      <c r="AA7" s="40">
        <v>20996</v>
      </c>
      <c r="AB7" s="40">
        <v>25113</v>
      </c>
      <c r="AC7" s="62">
        <f>(AB7-AA7)/AA7</f>
        <v>0.19608496856544103</v>
      </c>
      <c r="AD7" s="40">
        <v>25459</v>
      </c>
      <c r="AE7" s="40">
        <v>29032</v>
      </c>
      <c r="AF7" s="62">
        <f>(AE7-AD7)/AD7</f>
        <v>0.14034329706587062</v>
      </c>
      <c r="AG7" s="66">
        <v>27642</v>
      </c>
      <c r="AH7" s="66">
        <v>29420</v>
      </c>
      <c r="AI7" s="62">
        <f>(AH7-AG7)/AG7</f>
        <v>6.4322407929961647E-2</v>
      </c>
      <c r="AJ7" s="40">
        <v>24125</v>
      </c>
      <c r="AK7" s="40">
        <v>24690</v>
      </c>
      <c r="AL7" s="62">
        <f>(AK7-AJ7)/AJ7</f>
        <v>2.3419689119170986E-2</v>
      </c>
      <c r="AM7" s="67">
        <f t="shared" si="0"/>
        <v>308464</v>
      </c>
      <c r="AN7" s="67">
        <f t="shared" si="0"/>
        <v>271657</v>
      </c>
      <c r="AO7" s="42">
        <f>(AN7-AM7)/AM7</f>
        <v>-0.11932348669536802</v>
      </c>
    </row>
    <row r="8" spans="2:44">
      <c r="B8" s="20" t="s">
        <v>4</v>
      </c>
      <c r="C8" s="40">
        <v>8478</v>
      </c>
      <c r="D8" s="40">
        <v>6742</v>
      </c>
      <c r="E8" s="62">
        <f>(D8-C8)/C8</f>
        <v>-0.20476527482896908</v>
      </c>
      <c r="F8" s="40">
        <v>7723</v>
      </c>
      <c r="G8" s="40">
        <v>6134</v>
      </c>
      <c r="H8" s="62">
        <f>(G8-F8)/F8</f>
        <v>-0.20574906124562994</v>
      </c>
      <c r="I8" s="40">
        <v>9328</v>
      </c>
      <c r="J8" s="40">
        <v>6759</v>
      </c>
      <c r="K8" s="62">
        <f>(J8-I8)/I8</f>
        <v>-0.27540737564322471</v>
      </c>
      <c r="L8" s="40">
        <v>9058</v>
      </c>
      <c r="M8" s="40">
        <v>5500</v>
      </c>
      <c r="N8" s="62">
        <f>(M8-L8)/L8</f>
        <v>-0.3928019430337823</v>
      </c>
      <c r="O8" s="40">
        <v>9978</v>
      </c>
      <c r="P8" s="58">
        <v>4535</v>
      </c>
      <c r="Q8" s="62">
        <f>(P8-O8)/O8</f>
        <v>-0.54550010022048512</v>
      </c>
      <c r="R8" s="40">
        <v>12663</v>
      </c>
      <c r="S8" s="40">
        <v>5525</v>
      </c>
      <c r="T8" s="62">
        <f>(S8-R8)/R8</f>
        <v>-0.56368948906262339</v>
      </c>
      <c r="U8" s="40">
        <v>6391</v>
      </c>
      <c r="V8" s="40">
        <v>6009</v>
      </c>
      <c r="W8" s="62">
        <f>(V8-U8)/U8</f>
        <v>-5.9771553747457365E-2</v>
      </c>
      <c r="X8" s="40">
        <v>6686</v>
      </c>
      <c r="Y8" s="40">
        <v>4910</v>
      </c>
      <c r="Z8" s="62">
        <f>(Y8-X8)/X8</f>
        <v>-0.26562967394555786</v>
      </c>
      <c r="AA8" s="40">
        <v>5776</v>
      </c>
      <c r="AB8" s="40">
        <v>6178</v>
      </c>
      <c r="AC8" s="62">
        <f>(AB8-AA8)/AA8</f>
        <v>6.9598337950138506E-2</v>
      </c>
      <c r="AD8" s="40">
        <v>7300</v>
      </c>
      <c r="AE8" s="40">
        <v>6812</v>
      </c>
      <c r="AF8" s="62">
        <f>(AE8-AD8)/AD8</f>
        <v>-6.6849315068493148E-2</v>
      </c>
      <c r="AG8" s="66">
        <v>6764</v>
      </c>
      <c r="AH8" s="66">
        <v>6430</v>
      </c>
      <c r="AI8" s="62">
        <f>(AH8-AG8)/AG8</f>
        <v>-4.9379065641632171E-2</v>
      </c>
      <c r="AJ8" s="40">
        <v>4755</v>
      </c>
      <c r="AK8" s="40">
        <v>6892</v>
      </c>
      <c r="AL8" s="62">
        <f>(AK8-AJ8)/AJ8</f>
        <v>0.44942166140904311</v>
      </c>
      <c r="AM8" s="67">
        <f t="shared" si="0"/>
        <v>94900</v>
      </c>
      <c r="AN8" s="67">
        <f t="shared" si="0"/>
        <v>72426</v>
      </c>
      <c r="AO8" s="42">
        <f>(AN8-AM8)/AM8</f>
        <v>-0.23681770284510009</v>
      </c>
    </row>
    <row r="9" spans="2:44">
      <c r="B9" s="20" t="s">
        <v>5</v>
      </c>
      <c r="C9" s="27">
        <v>627</v>
      </c>
      <c r="D9" s="40">
        <v>630</v>
      </c>
      <c r="E9" s="62">
        <f>(D9-C9)/C9</f>
        <v>4.7846889952153108E-3</v>
      </c>
      <c r="F9" s="40">
        <v>369</v>
      </c>
      <c r="G9" s="40">
        <v>493</v>
      </c>
      <c r="H9" s="62">
        <f>(G9-F9)/F9</f>
        <v>0.33604336043360433</v>
      </c>
      <c r="I9" s="40">
        <v>434</v>
      </c>
      <c r="J9" s="40">
        <v>485</v>
      </c>
      <c r="K9" s="62">
        <f>(J9-I9)/I9</f>
        <v>0.11751152073732719</v>
      </c>
      <c r="L9" s="40">
        <v>547</v>
      </c>
      <c r="M9" s="40">
        <v>237</v>
      </c>
      <c r="N9" s="62">
        <f>(M9-L9)/L9</f>
        <v>-0.56672760511883002</v>
      </c>
      <c r="O9" s="40">
        <v>640</v>
      </c>
      <c r="P9" s="58">
        <v>327</v>
      </c>
      <c r="Q9" s="62">
        <f>(P9-O9)/O9</f>
        <v>-0.48906250000000001</v>
      </c>
      <c r="R9" s="11">
        <v>636</v>
      </c>
      <c r="S9" s="11">
        <v>455</v>
      </c>
      <c r="T9" s="62">
        <f>(S9-R9)/R9</f>
        <v>-0.28459119496855345</v>
      </c>
      <c r="U9" s="11">
        <v>469</v>
      </c>
      <c r="V9" s="11">
        <v>611</v>
      </c>
      <c r="W9" s="62">
        <f>(V9-U9)/U9</f>
        <v>0.30277185501066101</v>
      </c>
      <c r="X9" s="11">
        <v>568</v>
      </c>
      <c r="Y9" s="11">
        <v>540</v>
      </c>
      <c r="Z9" s="62">
        <f>(Y9-X9)/X9</f>
        <v>-4.9295774647887321E-2</v>
      </c>
      <c r="AA9" s="11">
        <v>323</v>
      </c>
      <c r="AB9" s="11">
        <v>574</v>
      </c>
      <c r="AC9" s="62">
        <f>(AB9-AA9)/AA9</f>
        <v>0.77708978328173373</v>
      </c>
      <c r="AD9" s="11">
        <v>451</v>
      </c>
      <c r="AE9" s="11">
        <v>501</v>
      </c>
      <c r="AF9" s="62">
        <f>(AE9-AD9)/AD9</f>
        <v>0.11086474501108648</v>
      </c>
      <c r="AG9" s="65">
        <v>646</v>
      </c>
      <c r="AH9" s="65">
        <v>720</v>
      </c>
      <c r="AI9" s="62">
        <f>(AH9-AG9)/AG9</f>
        <v>0.11455108359133127</v>
      </c>
      <c r="AJ9" s="11">
        <v>727</v>
      </c>
      <c r="AK9" s="11">
        <v>888</v>
      </c>
      <c r="AL9" s="62">
        <f>(AK9-AJ9)/AJ9</f>
        <v>0.22145804676753783</v>
      </c>
      <c r="AM9" s="67">
        <f t="shared" si="0"/>
        <v>6437</v>
      </c>
      <c r="AN9" s="67">
        <f t="shared" si="0"/>
        <v>6461</v>
      </c>
      <c r="AO9" s="42">
        <f>(AN9-AM9)/AM9</f>
        <v>3.7284449277613795E-3</v>
      </c>
    </row>
    <row r="10" spans="2:44" s="10" customFormat="1">
      <c r="B10" s="47" t="s">
        <v>7</v>
      </c>
      <c r="C10" s="16">
        <f>SUM(C6:C9)</f>
        <v>297001</v>
      </c>
      <c r="D10" s="16">
        <f>SUM(D6:D9)</f>
        <v>275211</v>
      </c>
      <c r="E10" s="63">
        <f>(D10-C10)/C10</f>
        <v>-7.336675634088774E-2</v>
      </c>
      <c r="F10" s="16">
        <f>SUM(F6:F9)</f>
        <v>299298</v>
      </c>
      <c r="G10" s="16">
        <f>SUM(G6:G9)</f>
        <v>268058</v>
      </c>
      <c r="H10" s="63">
        <f>(G10-F10)/F10</f>
        <v>-0.10437757686319321</v>
      </c>
      <c r="I10" s="16">
        <f>SUM(I6:I9)</f>
        <v>383224</v>
      </c>
      <c r="J10" s="16">
        <f>SUM(J6:J9)</f>
        <v>243239</v>
      </c>
      <c r="K10" s="63">
        <f>(J10-I10)/I10</f>
        <v>-0.36528244577583868</v>
      </c>
      <c r="L10" s="41">
        <f>SUM(L6:L9)</f>
        <v>346174</v>
      </c>
      <c r="M10" s="16">
        <f>SUM(M6:M9)</f>
        <v>140295</v>
      </c>
      <c r="N10" s="63">
        <f>(M10-L10)/L10</f>
        <v>-0.59472692923212023</v>
      </c>
      <c r="O10" s="16">
        <f>SUM(O6:O9)</f>
        <v>372510</v>
      </c>
      <c r="P10" s="16">
        <f>SUM(P6:P9)</f>
        <v>188771</v>
      </c>
      <c r="Q10" s="63">
        <f>(P10-O10)/O10</f>
        <v>-0.4932458189041905</v>
      </c>
      <c r="R10" s="16">
        <f>SUM(R6:R9)</f>
        <v>364099</v>
      </c>
      <c r="S10" s="16">
        <f>SUM(S6:S9)</f>
        <v>247292</v>
      </c>
      <c r="T10" s="63">
        <f>(S10-R10)/R10</f>
        <v>-0.32081109808046715</v>
      </c>
      <c r="U10" s="16">
        <f>SUM(U6:U9)</f>
        <v>366449</v>
      </c>
      <c r="V10" s="16">
        <f>SUM(V6:V9)</f>
        <v>346698</v>
      </c>
      <c r="W10" s="63">
        <f>(V10-U10)/U10</f>
        <v>-5.3898359662599704E-2</v>
      </c>
      <c r="X10" s="16">
        <f>SUM(X6:X9)</f>
        <v>351618</v>
      </c>
      <c r="Y10" s="16">
        <f>SUM(Y6:Y9)</f>
        <v>280334</v>
      </c>
      <c r="Z10" s="63">
        <f>(Y10-X10)/X10</f>
        <v>-0.20273137325165377</v>
      </c>
      <c r="AA10" s="16">
        <f>SUM(AA6:AA9)</f>
        <v>271717</v>
      </c>
      <c r="AB10" s="16">
        <f>SUM(AB6:AB9)</f>
        <v>297092</v>
      </c>
      <c r="AC10" s="63">
        <f>(AB10-AA10)/AA10</f>
        <v>9.3387605486590822E-2</v>
      </c>
      <c r="AD10" s="16">
        <f>SUM(AD6:AD9)</f>
        <v>317803</v>
      </c>
      <c r="AE10" s="16">
        <f>SUM(AE6:AE9)</f>
        <v>310648</v>
      </c>
      <c r="AF10" s="63">
        <f>(AE10-AD10)/AD10</f>
        <v>-2.2513947319565894E-2</v>
      </c>
      <c r="AG10" s="16">
        <f>SUM(AG6:AG9)</f>
        <v>334179</v>
      </c>
      <c r="AH10" s="16">
        <f>SUM(AH6:AH9)</f>
        <v>326720</v>
      </c>
      <c r="AI10" s="63">
        <f>(AH10-AG10)/AG10</f>
        <v>-2.2320373213158218E-2</v>
      </c>
      <c r="AJ10" s="187">
        <f>SUM(AJ6:AJ9)</f>
        <v>312987</v>
      </c>
      <c r="AK10" s="187">
        <f>SUM(AK6:AK9)</f>
        <v>343864</v>
      </c>
      <c r="AL10" s="63">
        <f>(AK10-AJ10)/AJ10</f>
        <v>9.8652659695131109E-2</v>
      </c>
      <c r="AM10" s="67">
        <f t="shared" si="0"/>
        <v>4017059</v>
      </c>
      <c r="AN10" s="67">
        <f t="shared" si="0"/>
        <v>3268222</v>
      </c>
      <c r="AO10" s="39">
        <f>(AN10-AM10)/AM10</f>
        <v>-0.18641423987051223</v>
      </c>
      <c r="AQ10" s="25"/>
      <c r="AR10" s="24"/>
    </row>
    <row r="12" spans="2:44">
      <c r="B12" s="25" t="s">
        <v>23</v>
      </c>
      <c r="C12" s="86" t="s">
        <v>112</v>
      </c>
      <c r="AE12" s="64"/>
      <c r="AM12" s="184"/>
    </row>
    <row r="13" spans="2:44"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64"/>
      <c r="AH13" s="64"/>
      <c r="AI13" s="64"/>
      <c r="AJ13" s="64"/>
      <c r="AK13" s="64"/>
      <c r="AL13" s="64"/>
    </row>
    <row r="14" spans="2:44">
      <c r="C14" s="26"/>
      <c r="D14" s="26"/>
      <c r="E14" s="26"/>
      <c r="F14" s="26"/>
      <c r="G14" s="26"/>
      <c r="AC14" s="81"/>
      <c r="AD14" s="81"/>
      <c r="AE14" s="64"/>
      <c r="AF14" s="64"/>
      <c r="AG14" s="64"/>
      <c r="AH14" s="64"/>
      <c r="AI14" s="64"/>
      <c r="AJ14" s="64"/>
      <c r="AK14" s="64"/>
      <c r="AL14" s="64"/>
    </row>
    <row r="15" spans="2:44">
      <c r="W15" s="27"/>
      <c r="X15" s="27"/>
      <c r="Y15" s="27"/>
      <c r="Z15" s="27"/>
      <c r="AA15" s="27"/>
      <c r="AB15" s="27"/>
      <c r="AC15" s="64"/>
      <c r="AD15" s="64"/>
      <c r="AE15" s="64"/>
      <c r="AF15" s="64"/>
      <c r="AG15" s="64"/>
      <c r="AH15" s="64"/>
      <c r="AI15" s="64"/>
      <c r="AJ15" s="64"/>
      <c r="AK15" s="64"/>
      <c r="AL15" s="64"/>
    </row>
    <row r="16" spans="2:44">
      <c r="C16" s="27"/>
      <c r="D16" s="27"/>
      <c r="E16" s="27"/>
      <c r="F16" s="27"/>
      <c r="G16" s="27"/>
      <c r="W16" s="27"/>
      <c r="X16" s="27"/>
      <c r="Y16" s="27"/>
      <c r="Z16" s="27"/>
      <c r="AA16" s="27"/>
      <c r="AB16" s="27"/>
      <c r="AC16" s="81"/>
      <c r="AD16" s="81"/>
      <c r="AE16" s="64"/>
      <c r="AF16" s="64"/>
      <c r="AG16" s="64"/>
      <c r="AH16" s="64"/>
      <c r="AI16" s="64"/>
      <c r="AJ16" s="64"/>
      <c r="AK16" s="64"/>
      <c r="AL16" s="64"/>
    </row>
    <row r="17" spans="3:38">
      <c r="C17" s="27"/>
      <c r="D17" s="27"/>
      <c r="E17" s="27"/>
      <c r="F17" s="27"/>
      <c r="G17" s="27"/>
      <c r="W17" s="27"/>
      <c r="X17" s="27"/>
      <c r="Y17" s="27"/>
      <c r="Z17" s="27"/>
      <c r="AA17" s="27"/>
      <c r="AB17" s="27"/>
      <c r="AC17" s="64"/>
      <c r="AD17" s="64"/>
      <c r="AE17" s="64"/>
      <c r="AF17" s="64"/>
      <c r="AG17" s="64"/>
      <c r="AH17" s="64"/>
      <c r="AI17" s="64"/>
      <c r="AJ17" s="64"/>
      <c r="AK17" s="64"/>
      <c r="AL17" s="64"/>
    </row>
    <row r="18" spans="3:38">
      <c r="C18" s="27"/>
      <c r="D18" s="27"/>
      <c r="E18" s="27"/>
      <c r="F18" s="27"/>
      <c r="G18" s="27"/>
      <c r="W18" s="27"/>
      <c r="X18" s="27"/>
      <c r="Y18" s="27"/>
      <c r="Z18" s="81"/>
      <c r="AA18" s="81"/>
      <c r="AB18" s="27"/>
      <c r="AC18" s="81"/>
      <c r="AD18" s="81"/>
      <c r="AE18" s="64"/>
      <c r="AF18" s="64"/>
      <c r="AG18" s="64"/>
      <c r="AH18" s="64"/>
      <c r="AI18" s="64"/>
      <c r="AJ18" s="64"/>
      <c r="AK18" s="64"/>
      <c r="AL18" s="64"/>
    </row>
    <row r="19" spans="3:38">
      <c r="C19" s="27"/>
      <c r="D19" s="27"/>
      <c r="E19" s="27"/>
      <c r="F19" s="27"/>
      <c r="G19" s="27"/>
      <c r="W19" s="27"/>
      <c r="X19" s="27"/>
      <c r="Y19" s="27"/>
      <c r="Z19" s="27"/>
      <c r="AA19" s="27"/>
      <c r="AB19" s="27"/>
      <c r="AC19" s="155"/>
      <c r="AD19" s="155"/>
      <c r="AE19" s="155"/>
      <c r="AF19" s="155"/>
      <c r="AG19" s="56"/>
      <c r="AH19" s="27"/>
      <c r="AI19" s="27"/>
    </row>
    <row r="20" spans="3:38">
      <c r="C20" s="27"/>
      <c r="D20" s="27"/>
      <c r="E20" s="27"/>
      <c r="F20" s="27"/>
      <c r="G20" s="27"/>
      <c r="W20" s="27"/>
      <c r="X20" s="27"/>
      <c r="Y20" s="27"/>
      <c r="Z20" s="27"/>
      <c r="AA20" s="27"/>
      <c r="AB20" s="27"/>
      <c r="AC20" s="155"/>
      <c r="AD20" s="155"/>
      <c r="AE20" s="155"/>
      <c r="AF20" s="155"/>
      <c r="AG20" s="56"/>
      <c r="AH20" s="27"/>
      <c r="AI20" s="27"/>
    </row>
    <row r="21" spans="3:38">
      <c r="C21" s="27"/>
      <c r="D21" s="27"/>
      <c r="E21" s="27"/>
      <c r="F21" s="27"/>
      <c r="G21" s="27"/>
      <c r="AC21" s="155"/>
      <c r="AD21" s="155"/>
      <c r="AE21" s="155"/>
      <c r="AF21" s="155"/>
      <c r="AG21" s="57"/>
    </row>
    <row r="22" spans="3:38">
      <c r="AC22" s="153"/>
      <c r="AD22" s="172"/>
      <c r="AE22" s="153"/>
      <c r="AF22" s="153"/>
      <c r="AG22" s="57"/>
    </row>
    <row r="23" spans="3:38">
      <c r="AC23" s="57"/>
      <c r="AD23" s="57"/>
      <c r="AE23" s="57"/>
      <c r="AF23" s="57"/>
      <c r="AG23" s="57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hyperlinks>
    <hyperlink ref="C12" r:id="rId1" xr:uid="{B2F7D5FA-17BF-400E-A239-9DE8DDAF2972}"/>
  </hyperlinks>
  <pageMargins left="0.7" right="0.7" top="0.78740157499999996" bottom="0.78740157499999996" header="0.3" footer="0.3"/>
  <pageSetup paperSize="9" orientation="portrait" r:id="rId2"/>
  <ignoredErrors>
    <ignoredError sqref="C10:D10 F10:G10 I10:J10 L10:M10 O10:P10 R10:S10 U10:V10 X10:Y10 AA10:AB10 AD10:AE10 AG10 AH10 AJ10:AK10" formulaRange="1"/>
    <ignoredError sqref="E10 H10 K10 N10" formula="1" formulaRange="1"/>
    <ignoredError sqref="Q10 T10 AC10 AF10 AI10 Z10" formula="1"/>
    <ignoredError sqref="AL6:AL10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3F9C6-AF26-4A6A-AED6-31C9D1CE3AA7}">
  <dimension ref="A1:AR21"/>
  <sheetViews>
    <sheetView topLeftCell="B1" workbookViewId="0">
      <pane xSplit="1" topLeftCell="AE1" activePane="topRight" state="frozen"/>
      <selection activeCell="B1" sqref="B1"/>
      <selection pane="topRight" activeCell="AM13" sqref="AM13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4" width="7.5703125" style="25" bestFit="1" customWidth="1"/>
    <col min="5" max="5" width="11.5703125" style="25" customWidth="1"/>
    <col min="6" max="7" width="7.5703125" style="25" bestFit="1" customWidth="1"/>
    <col min="8" max="8" width="10.85546875" style="25" customWidth="1"/>
    <col min="9" max="10" width="7.5703125" style="25" bestFit="1" customWidth="1"/>
    <col min="11" max="11" width="10" style="25" customWidth="1"/>
    <col min="12" max="12" width="9" style="25" customWidth="1"/>
    <col min="13" max="13" width="9.140625" style="25" customWidth="1"/>
    <col min="14" max="14" width="11.140625" style="25" customWidth="1"/>
    <col min="15" max="16" width="7.5703125" style="25" bestFit="1" customWidth="1"/>
    <col min="17" max="17" width="9.85546875" style="25" bestFit="1" customWidth="1"/>
    <col min="18" max="18" width="9.28515625" style="25" customWidth="1"/>
    <col min="19" max="19" width="7.5703125" style="25" bestFit="1" customWidth="1"/>
    <col min="20" max="21" width="11.42578125" style="25"/>
    <col min="22" max="22" width="10.5703125" style="25" customWidth="1"/>
    <col min="23" max="16384" width="11.42578125" style="25"/>
  </cols>
  <sheetData>
    <row r="1" spans="2:44">
      <c r="B1" s="10" t="s">
        <v>27</v>
      </c>
    </row>
    <row r="2" spans="2:44">
      <c r="S2" s="27"/>
    </row>
    <row r="4" spans="2:44" ht="45" customHeight="1">
      <c r="B4" s="18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5" t="s">
        <v>29</v>
      </c>
      <c r="AN4" s="236"/>
      <c r="AO4" s="237" t="s">
        <v>28</v>
      </c>
    </row>
    <row r="5" spans="2:44" ht="15" customHeight="1">
      <c r="B5" s="1"/>
      <c r="C5" s="13">
        <v>2019</v>
      </c>
      <c r="D5" s="13">
        <v>2020</v>
      </c>
      <c r="E5" s="17" t="s">
        <v>34</v>
      </c>
      <c r="F5" s="13">
        <v>2019</v>
      </c>
      <c r="G5" s="13">
        <v>2020</v>
      </c>
      <c r="H5" s="28" t="s">
        <v>34</v>
      </c>
      <c r="I5" s="13">
        <v>2019</v>
      </c>
      <c r="J5" s="13">
        <v>2020</v>
      </c>
      <c r="K5" s="28" t="s">
        <v>34</v>
      </c>
      <c r="L5" s="13">
        <v>2019</v>
      </c>
      <c r="M5" s="13">
        <v>2020</v>
      </c>
      <c r="N5" s="28" t="s">
        <v>34</v>
      </c>
      <c r="O5" s="13">
        <v>2019</v>
      </c>
      <c r="P5" s="13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3">
        <v>2019</v>
      </c>
      <c r="AN5" s="13">
        <v>2020</v>
      </c>
      <c r="AO5" s="238"/>
    </row>
    <row r="6" spans="2:44">
      <c r="B6" s="19" t="s">
        <v>6</v>
      </c>
      <c r="C6" s="6">
        <v>280091</v>
      </c>
      <c r="D6" s="5">
        <v>262714</v>
      </c>
      <c r="E6" s="62">
        <f>(D6-C6)/C6</f>
        <v>-6.2040551106604641E-2</v>
      </c>
      <c r="F6" s="9">
        <v>272243</v>
      </c>
      <c r="G6" s="8">
        <v>251516</v>
      </c>
      <c r="H6" s="62">
        <f>(G6-F6)/F6</f>
        <v>-7.6134188941497122E-2</v>
      </c>
      <c r="I6" s="9">
        <v>291861</v>
      </c>
      <c r="J6" s="8">
        <v>140910</v>
      </c>
      <c r="K6" s="62">
        <f>(J6-I6)/I6</f>
        <v>-0.5172016816224162</v>
      </c>
      <c r="L6" s="2"/>
      <c r="M6" s="40"/>
      <c r="N6" s="62"/>
      <c r="O6" s="2"/>
      <c r="P6" s="40"/>
      <c r="Q6" s="62"/>
      <c r="R6" s="2">
        <v>209522</v>
      </c>
      <c r="S6" s="40">
        <v>105617</v>
      </c>
      <c r="T6" s="62">
        <f>(S6-R6)/R6</f>
        <v>-0.49591451017076965</v>
      </c>
      <c r="U6" s="125">
        <v>190115</v>
      </c>
      <c r="V6" s="123">
        <v>182779</v>
      </c>
      <c r="W6" s="62">
        <f>(V6-U6)/U6</f>
        <v>-3.8587170922862478E-2</v>
      </c>
      <c r="X6" s="2">
        <v>189129</v>
      </c>
      <c r="Y6" s="66">
        <v>215916</v>
      </c>
      <c r="Z6" s="62">
        <f>(Y6-X6)/X6</f>
        <v>0.14163348825404881</v>
      </c>
      <c r="AA6" s="2">
        <v>215124</v>
      </c>
      <c r="AB6" s="66">
        <v>272027</v>
      </c>
      <c r="AC6" s="62">
        <f>(AB6-AA6)/AA6</f>
        <v>0.26451256019783936</v>
      </c>
      <c r="AD6" s="2">
        <v>271737</v>
      </c>
      <c r="AE6" s="66">
        <v>310294</v>
      </c>
      <c r="AF6" s="62">
        <f>(AE6-AD6)/AD6</f>
        <v>0.14189087242443982</v>
      </c>
      <c r="AG6" s="2">
        <v>253139</v>
      </c>
      <c r="AH6" s="66">
        <v>264898</v>
      </c>
      <c r="AI6" s="62">
        <f>(AH6-AG6)/AG6</f>
        <v>4.6452739404042841E-2</v>
      </c>
      <c r="AJ6" s="4">
        <v>222728</v>
      </c>
      <c r="AK6" s="66">
        <v>252998</v>
      </c>
      <c r="AL6" s="62">
        <f>(AK6-AJ6)/AJ6</f>
        <v>0.13590567867533493</v>
      </c>
      <c r="AM6" s="3">
        <f t="shared" ref="AM6:AN10" si="0">C6+F6+I6+L6+O6+R6+U6+X6+AA6+AD6+AG6+AJ6</f>
        <v>2395689</v>
      </c>
      <c r="AN6" s="3">
        <f t="shared" si="0"/>
        <v>2259669</v>
      </c>
      <c r="AO6" s="14">
        <f>(AN6-AM6)/AM6</f>
        <v>-5.6776985660492663E-2</v>
      </c>
    </row>
    <row r="7" spans="2:44">
      <c r="B7" s="19" t="s">
        <v>3</v>
      </c>
      <c r="C7" s="7">
        <v>49630</v>
      </c>
      <c r="D7" s="7">
        <v>48895</v>
      </c>
      <c r="E7" s="62">
        <f>(D7-C7)/C7</f>
        <v>-1.4809590973201692E-2</v>
      </c>
      <c r="F7" s="9">
        <v>48563</v>
      </c>
      <c r="G7" s="9">
        <v>34076</v>
      </c>
      <c r="H7" s="62">
        <f>(G7-F7)/F7</f>
        <v>-0.29831353087741697</v>
      </c>
      <c r="I7" s="9">
        <v>57267</v>
      </c>
      <c r="J7" s="9">
        <v>5312</v>
      </c>
      <c r="K7" s="62">
        <f>(J7-I7)/I7</f>
        <v>-0.90724151780257389</v>
      </c>
      <c r="L7" s="2"/>
      <c r="M7" s="40"/>
      <c r="N7" s="62"/>
      <c r="O7" s="2"/>
      <c r="P7" s="40"/>
      <c r="Q7" s="62"/>
      <c r="R7" s="2"/>
      <c r="S7" s="40"/>
      <c r="T7" s="62"/>
      <c r="U7" s="124"/>
      <c r="V7" s="123"/>
      <c r="W7" s="62"/>
      <c r="X7" s="2"/>
      <c r="Y7" s="11"/>
      <c r="Z7" s="21"/>
      <c r="AA7" s="2"/>
      <c r="AB7" s="11"/>
      <c r="AC7" s="62"/>
      <c r="AD7" s="2"/>
      <c r="AE7" s="66"/>
      <c r="AF7" s="62"/>
      <c r="AG7" s="2"/>
      <c r="AH7" s="11"/>
      <c r="AI7" s="62"/>
      <c r="AJ7" s="4"/>
      <c r="AK7" s="11"/>
      <c r="AL7" s="62"/>
      <c r="AM7" s="3">
        <f t="shared" si="0"/>
        <v>155460</v>
      </c>
      <c r="AN7" s="3">
        <f t="shared" si="0"/>
        <v>88283</v>
      </c>
      <c r="AO7" s="14">
        <f>(AN7-AM7)/AM7</f>
        <v>-0.43211758651743215</v>
      </c>
    </row>
    <row r="8" spans="2:44">
      <c r="B8" s="19" t="s">
        <v>4</v>
      </c>
      <c r="C8" s="7">
        <v>31001</v>
      </c>
      <c r="D8" s="7">
        <v>17368</v>
      </c>
      <c r="E8" s="62">
        <f>(D8-C8)/C8</f>
        <v>-0.43976000774168578</v>
      </c>
      <c r="F8" s="9">
        <v>30831</v>
      </c>
      <c r="G8" s="9">
        <v>16408</v>
      </c>
      <c r="H8" s="62">
        <f>(G8-F8)/F8</f>
        <v>-0.46780837468781422</v>
      </c>
      <c r="I8" s="9">
        <v>38167</v>
      </c>
      <c r="J8" s="9">
        <v>3993</v>
      </c>
      <c r="K8" s="62">
        <f>(J8-I8)/I8</f>
        <v>-0.89538082636832861</v>
      </c>
      <c r="L8" s="2"/>
      <c r="M8" s="40"/>
      <c r="N8" s="62"/>
      <c r="O8" s="2"/>
      <c r="P8" s="40"/>
      <c r="Q8" s="62"/>
      <c r="R8" s="2"/>
      <c r="S8" s="40"/>
      <c r="T8" s="62"/>
      <c r="U8" s="124"/>
      <c r="V8" s="123"/>
      <c r="W8" s="62"/>
      <c r="X8" s="2"/>
      <c r="Y8" s="11"/>
      <c r="Z8" s="21"/>
      <c r="AA8" s="2"/>
      <c r="AB8" s="11"/>
      <c r="AC8" s="62"/>
      <c r="AD8" s="2"/>
      <c r="AE8" s="66"/>
      <c r="AF8" s="62"/>
      <c r="AG8" s="2"/>
      <c r="AH8" s="11"/>
      <c r="AI8" s="62"/>
      <c r="AJ8" s="4"/>
      <c r="AK8" s="11"/>
      <c r="AL8" s="62"/>
      <c r="AM8" s="3">
        <f t="shared" si="0"/>
        <v>99999</v>
      </c>
      <c r="AN8" s="3">
        <f t="shared" si="0"/>
        <v>37769</v>
      </c>
      <c r="AO8" s="14">
        <f>(AN8-AM8)/AM8</f>
        <v>-0.6223062230622306</v>
      </c>
    </row>
    <row r="9" spans="2:44">
      <c r="B9" s="20" t="s">
        <v>5</v>
      </c>
      <c r="C9" s="7">
        <v>6960</v>
      </c>
      <c r="D9" s="7">
        <v>9026</v>
      </c>
      <c r="E9" s="62">
        <f>(D9-C9)/C9</f>
        <v>0.29683908045977009</v>
      </c>
      <c r="F9" s="9">
        <v>8042</v>
      </c>
      <c r="G9" s="9">
        <v>8186</v>
      </c>
      <c r="H9" s="62">
        <f>(G9-F9)/F9</f>
        <v>1.7905993533946778E-2</v>
      </c>
      <c r="I9" s="9">
        <v>13588</v>
      </c>
      <c r="J9" s="9">
        <v>3722</v>
      </c>
      <c r="K9" s="62">
        <f>(J9-I9)/I9</f>
        <v>-0.72608183691492489</v>
      </c>
      <c r="L9" s="2"/>
      <c r="M9" s="40"/>
      <c r="N9" s="62"/>
      <c r="O9" s="2"/>
      <c r="P9" s="40"/>
      <c r="Q9" s="62"/>
      <c r="R9" s="2"/>
      <c r="S9" s="40"/>
      <c r="T9" s="62"/>
      <c r="U9" s="124"/>
      <c r="V9" s="123"/>
      <c r="W9" s="62"/>
      <c r="X9" s="2"/>
      <c r="Y9" s="11"/>
      <c r="Z9" s="21"/>
      <c r="AA9" s="27"/>
      <c r="AB9" s="11"/>
      <c r="AC9" s="62"/>
      <c r="AD9" s="27"/>
      <c r="AE9" s="66"/>
      <c r="AF9" s="62"/>
      <c r="AG9" s="27"/>
      <c r="AH9" s="11"/>
      <c r="AI9" s="62"/>
      <c r="AJ9" s="4"/>
      <c r="AK9" s="11"/>
      <c r="AL9" s="62"/>
      <c r="AM9" s="3">
        <f t="shared" si="0"/>
        <v>28590</v>
      </c>
      <c r="AN9" s="3">
        <f t="shared" si="0"/>
        <v>20934</v>
      </c>
      <c r="AO9" s="14">
        <f>(AN9-AM9)/AM9</f>
        <v>-0.26778593913955928</v>
      </c>
    </row>
    <row r="10" spans="2:44" s="10" customFormat="1">
      <c r="B10" s="22" t="s">
        <v>7</v>
      </c>
      <c r="C10" s="3">
        <f>SUM(C6:C9)</f>
        <v>367682</v>
      </c>
      <c r="D10" s="3">
        <f>SUM(D6:D9)</f>
        <v>338003</v>
      </c>
      <c r="E10" s="63">
        <f>(D10-C10)/C10</f>
        <v>-8.0719208446429255E-2</v>
      </c>
      <c r="F10" s="3">
        <f>SUM(F6:F9)</f>
        <v>359679</v>
      </c>
      <c r="G10" s="3">
        <f>SUM(G6:G9)</f>
        <v>310186</v>
      </c>
      <c r="H10" s="63">
        <f>(G10-F10)/F10</f>
        <v>-0.13760325178840022</v>
      </c>
      <c r="I10" s="3">
        <f>SUM(I6:I9)</f>
        <v>400883</v>
      </c>
      <c r="J10" s="3">
        <f>SUM(J6:J9)</f>
        <v>153937</v>
      </c>
      <c r="K10" s="63">
        <f>(J10-I10)/I10</f>
        <v>-0.61600516859033683</v>
      </c>
      <c r="L10" s="3">
        <f>SUM(L6:L9)</f>
        <v>0</v>
      </c>
      <c r="M10" s="3">
        <f>SUM(M6:M9)</f>
        <v>0</v>
      </c>
      <c r="N10" s="63" t="e">
        <f>(M10-L10)/L10</f>
        <v>#DIV/0!</v>
      </c>
      <c r="O10" s="3">
        <f>SUM(O6:O9)</f>
        <v>0</v>
      </c>
      <c r="P10" s="3">
        <f>SUM(P6:P9)</f>
        <v>0</v>
      </c>
      <c r="Q10" s="63" t="e">
        <f>(P10-O10)/O10</f>
        <v>#DIV/0!</v>
      </c>
      <c r="R10" s="3">
        <f>SUM(R6:R9)</f>
        <v>209522</v>
      </c>
      <c r="S10" s="3">
        <f>SUM(S6:S9)</f>
        <v>105617</v>
      </c>
      <c r="T10" s="62">
        <f>(S10-R10)/R10</f>
        <v>-0.49591451017076965</v>
      </c>
      <c r="U10" s="3">
        <f>SUM(U6:U9)</f>
        <v>190115</v>
      </c>
      <c r="V10" s="3">
        <f>SUM(V6:V9)</f>
        <v>182779</v>
      </c>
      <c r="W10" s="62">
        <f>(V10-U10)/U10</f>
        <v>-3.8587170922862478E-2</v>
      </c>
      <c r="X10" s="3">
        <f>SUM(X6:X9)</f>
        <v>189129</v>
      </c>
      <c r="Y10" s="3">
        <f>SUM(Y6:Y9)</f>
        <v>215916</v>
      </c>
      <c r="Z10" s="62">
        <f>(Y10-X10)/X10</f>
        <v>0.14163348825404881</v>
      </c>
      <c r="AA10" s="3">
        <f>SUM(AA6:AA9)</f>
        <v>215124</v>
      </c>
      <c r="AB10" s="3">
        <f>SUM(AB6:AB9)</f>
        <v>272027</v>
      </c>
      <c r="AC10" s="62">
        <f>(AB10-AA10)/AA10</f>
        <v>0.26451256019783936</v>
      </c>
      <c r="AD10" s="3">
        <f>SUM(AD6:AD9)</f>
        <v>271737</v>
      </c>
      <c r="AE10" s="3">
        <f>SUM(AE6:AE9)</f>
        <v>310294</v>
      </c>
      <c r="AF10" s="62">
        <f>(AE10-AD10)/AD10</f>
        <v>0.14189087242443982</v>
      </c>
      <c r="AG10" s="3">
        <f>SUM(AG6:AG9)</f>
        <v>253139</v>
      </c>
      <c r="AH10" s="3">
        <f>SUM(AH6:AH9)</f>
        <v>264898</v>
      </c>
      <c r="AI10" s="62">
        <f>(AH10-AG10)/AG10</f>
        <v>4.6452739404042841E-2</v>
      </c>
      <c r="AJ10" s="3">
        <f>SUM(AJ6:AJ9)</f>
        <v>222728</v>
      </c>
      <c r="AK10" s="3">
        <f>SUM(AK6:AK9)</f>
        <v>252998</v>
      </c>
      <c r="AL10" s="62">
        <f>(AK10-AJ10)/AJ10</f>
        <v>0.13590567867533493</v>
      </c>
      <c r="AM10" s="3">
        <f t="shared" si="0"/>
        <v>2679738</v>
      </c>
      <c r="AN10" s="3">
        <f t="shared" si="0"/>
        <v>2406655</v>
      </c>
      <c r="AO10" s="15">
        <f>(AN10-AM10)/AM10</f>
        <v>-0.1019066043023609</v>
      </c>
      <c r="AQ10" s="25"/>
      <c r="AR10" s="24"/>
    </row>
    <row r="12" spans="2:44">
      <c r="B12" s="25" t="s">
        <v>26</v>
      </c>
    </row>
    <row r="13" spans="2:44"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M13" s="184"/>
    </row>
    <row r="14" spans="2:44">
      <c r="C14" s="26"/>
      <c r="D14" s="26"/>
      <c r="E14" s="26"/>
      <c r="F14" s="26"/>
      <c r="G14" s="26"/>
    </row>
    <row r="15" spans="2:44"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2:44">
      <c r="C16" s="27"/>
      <c r="D16" s="27"/>
      <c r="E16" s="27"/>
      <c r="F16" s="27"/>
      <c r="G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3:35">
      <c r="C17" s="27"/>
      <c r="D17" s="27"/>
      <c r="E17" s="27"/>
      <c r="F17" s="27"/>
      <c r="G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3:35">
      <c r="C18" s="27"/>
      <c r="D18" s="27"/>
      <c r="E18" s="27"/>
      <c r="F18" s="27"/>
      <c r="G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3:35">
      <c r="C19" s="27"/>
      <c r="D19" s="27"/>
      <c r="E19" s="27"/>
      <c r="F19" s="27"/>
      <c r="G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3:35">
      <c r="C20" s="27"/>
      <c r="D20" s="27"/>
      <c r="E20" s="27"/>
      <c r="F20" s="27"/>
      <c r="G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3:35">
      <c r="C21" s="27"/>
      <c r="D21" s="27"/>
      <c r="E21" s="27"/>
      <c r="F21" s="27"/>
      <c r="G21" s="27"/>
    </row>
  </sheetData>
  <mergeCells count="14">
    <mergeCell ref="AO4:AO5"/>
    <mergeCell ref="AM4:AN4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pageMargins left="0.7" right="0.7" top="0.78740157499999996" bottom="0.78740157499999996" header="0.3" footer="0.3"/>
  <pageSetup paperSize="9" orientation="portrait" r:id="rId1"/>
  <ignoredErrors>
    <ignoredError sqref="C10:D10 F10:G10 I10:J10 X10:Y10 AA10:AB10 S10 U10:V10 AD10:AE10 AG10:AH10 AJ10:AK10" formulaRange="1"/>
    <ignoredError sqref="E10 H10 Z10 T10 W10 AC10 AF10" formula="1"/>
    <ignoredError sqref="K10" formula="1" formulaRange="1"/>
    <ignoredError sqref="AI6 AL10 AL6" evalError="1"/>
    <ignoredError sqref="AI10" evalError="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4B64A-A7C9-4585-A415-0981F1961923}">
  <dimension ref="A1:AR19"/>
  <sheetViews>
    <sheetView topLeftCell="B1" zoomScaleNormal="100" workbookViewId="0">
      <pane xSplit="1" topLeftCell="AE1" activePane="topRight" state="frozen"/>
      <selection activeCell="B1" sqref="B1"/>
      <selection pane="topRight" activeCell="AM11" sqref="AM11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3" width="8.7109375" style="25" customWidth="1"/>
    <col min="4" max="4" width="9" style="25" customWidth="1"/>
    <col min="5" max="5" width="11.5703125" style="25" customWidth="1"/>
    <col min="6" max="6" width="9.140625" style="25" customWidth="1"/>
    <col min="7" max="7" width="10.140625" style="25" customWidth="1"/>
    <col min="8" max="8" width="10.85546875" style="25" customWidth="1"/>
    <col min="9" max="9" width="9.7109375" style="25" customWidth="1"/>
    <col min="10" max="10" width="9.42578125" style="25" customWidth="1"/>
    <col min="11" max="12" width="10" style="25" customWidth="1"/>
    <col min="13" max="13" width="9.7109375" style="25" customWidth="1"/>
    <col min="14" max="14" width="11.140625" style="25" customWidth="1"/>
    <col min="15" max="15" width="8.85546875" style="25" customWidth="1"/>
    <col min="16" max="16" width="10.42578125" style="25" customWidth="1"/>
    <col min="17" max="17" width="10.140625" style="25" bestFit="1" customWidth="1"/>
    <col min="18" max="18" width="10.42578125" style="25" customWidth="1"/>
    <col min="19" max="19" width="11.42578125" style="25" customWidth="1"/>
    <col min="20" max="20" width="11.42578125" style="25"/>
    <col min="21" max="21" width="10.42578125" style="25" customWidth="1"/>
    <col min="22" max="22" width="10.5703125" style="25" customWidth="1"/>
    <col min="23" max="16384" width="11.42578125" style="25"/>
  </cols>
  <sheetData>
    <row r="1" spans="2:44">
      <c r="B1" s="10" t="s">
        <v>67</v>
      </c>
    </row>
    <row r="2" spans="2:44">
      <c r="B2" s="53"/>
      <c r="S2" s="27"/>
    </row>
    <row r="4" spans="2:44" ht="45" customHeight="1">
      <c r="B4" s="11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1" t="s">
        <v>29</v>
      </c>
      <c r="AN4" s="232"/>
      <c r="AO4" s="237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8" t="s">
        <v>34</v>
      </c>
      <c r="I5" s="12">
        <v>2019</v>
      </c>
      <c r="J5" s="12">
        <v>2020</v>
      </c>
      <c r="K5" s="28" t="s">
        <v>34</v>
      </c>
      <c r="L5" s="12">
        <v>2019</v>
      </c>
      <c r="M5" s="12">
        <v>2020</v>
      </c>
      <c r="N5" s="28" t="s">
        <v>34</v>
      </c>
      <c r="O5" s="12">
        <v>2019</v>
      </c>
      <c r="P5" s="12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2">
        <v>2019</v>
      </c>
      <c r="AN5" s="12">
        <v>2020</v>
      </c>
      <c r="AO5" s="238"/>
    </row>
    <row r="6" spans="2:44">
      <c r="B6" s="20" t="s">
        <v>6</v>
      </c>
      <c r="C6" s="40">
        <v>57089</v>
      </c>
      <c r="D6" s="40">
        <v>61217</v>
      </c>
      <c r="E6" s="62">
        <f>(D6-C6)/C6</f>
        <v>7.2308150431781959E-2</v>
      </c>
      <c r="F6" s="40">
        <v>62292</v>
      </c>
      <c r="G6" s="40">
        <v>60499</v>
      </c>
      <c r="H6" s="62">
        <f>(G6-F6)/F6</f>
        <v>-2.8783792461311245E-2</v>
      </c>
      <c r="I6" s="40">
        <v>72929</v>
      </c>
      <c r="J6" s="40">
        <v>61922</v>
      </c>
      <c r="K6" s="62">
        <f>(J6-I6)/I6</f>
        <v>-0.15092761452919964</v>
      </c>
      <c r="L6" s="40">
        <v>68009</v>
      </c>
      <c r="M6" s="40">
        <v>5885</v>
      </c>
      <c r="N6" s="62">
        <f>(M6-L6)/L6</f>
        <v>-0.9134673352056345</v>
      </c>
      <c r="O6" s="40">
        <v>67231</v>
      </c>
      <c r="P6" s="40">
        <v>2165</v>
      </c>
      <c r="Q6" s="62">
        <f>(P6-O6)/O6</f>
        <v>-0.96779759337210514</v>
      </c>
      <c r="R6" s="40">
        <v>43743</v>
      </c>
      <c r="S6" s="40">
        <v>7452</v>
      </c>
      <c r="T6" s="62">
        <f>(S6-R6)/R6</f>
        <v>-0.82964131403881769</v>
      </c>
      <c r="U6" s="66">
        <v>68657</v>
      </c>
      <c r="V6" s="66">
        <v>15232</v>
      </c>
      <c r="W6" s="95">
        <f>(V6-U6)/U6</f>
        <v>-0.77814352505935303</v>
      </c>
      <c r="X6" s="66">
        <v>68081</v>
      </c>
      <c r="Y6" s="66">
        <v>29369</v>
      </c>
      <c r="Z6" s="95">
        <f>(Y6-X6)/X6</f>
        <v>-0.56861679470043036</v>
      </c>
      <c r="AA6" s="40">
        <v>71000</v>
      </c>
      <c r="AB6" s="66">
        <v>34513</v>
      </c>
      <c r="AC6" s="95">
        <f>(AB6-AA6)/AA6</f>
        <v>-0.5139014084507042</v>
      </c>
      <c r="AD6" s="68">
        <v>72329</v>
      </c>
      <c r="AE6" s="68">
        <v>34853</v>
      </c>
      <c r="AF6" s="95">
        <f>(AE6-AD6)/AD6</f>
        <v>-0.51813242267969972</v>
      </c>
      <c r="AG6" s="40">
        <v>69901</v>
      </c>
      <c r="AH6" s="66">
        <v>35471</v>
      </c>
      <c r="AI6" s="95">
        <f>(AH6-AG6)/AG6</f>
        <v>-0.49255375459578549</v>
      </c>
      <c r="AJ6" s="46">
        <v>64278</v>
      </c>
      <c r="AK6" s="68">
        <v>40347</v>
      </c>
      <c r="AL6" s="95">
        <f>(AK6-AJ6)/AJ6</f>
        <v>-0.37230467656118732</v>
      </c>
      <c r="AM6" s="67">
        <f t="shared" ref="AM6:AN8" si="0">C6+F6+I6+L6+O6+R6+U6+X6+AA6+AD6+AG6+AJ6</f>
        <v>785539</v>
      </c>
      <c r="AN6" s="67">
        <f t="shared" si="0"/>
        <v>388925</v>
      </c>
      <c r="AO6" s="42">
        <f>(AN6-AM6)/AM6</f>
        <v>-0.50489409182739498</v>
      </c>
    </row>
    <row r="7" spans="2:44" ht="45">
      <c r="B7" s="120" t="s">
        <v>85</v>
      </c>
      <c r="C7" s="68">
        <v>25066</v>
      </c>
      <c r="D7" s="68">
        <v>19218</v>
      </c>
      <c r="E7" s="121">
        <f>(D7-C7)/C7</f>
        <v>-0.2333040772360967</v>
      </c>
      <c r="F7" s="68">
        <v>19517</v>
      </c>
      <c r="G7" s="68">
        <v>19146</v>
      </c>
      <c r="H7" s="121">
        <f>(G7-F7)/F7</f>
        <v>-1.9009069016754625E-2</v>
      </c>
      <c r="I7" s="68">
        <v>17439</v>
      </c>
      <c r="J7" s="68">
        <v>14889</v>
      </c>
      <c r="K7" s="121">
        <f>(J7-I7)/I7</f>
        <v>-0.14622398073284018</v>
      </c>
      <c r="L7" s="68">
        <v>16047</v>
      </c>
      <c r="M7" s="68">
        <v>1983</v>
      </c>
      <c r="N7" s="121">
        <f>(M7-L7)/L7</f>
        <v>-0.87642550009347542</v>
      </c>
      <c r="O7" s="68">
        <v>16878</v>
      </c>
      <c r="P7" s="68">
        <v>1386</v>
      </c>
      <c r="Q7" s="121">
        <f>(P7-O7)/O7</f>
        <v>-0.91788126555279059</v>
      </c>
      <c r="R7" s="68">
        <v>15857</v>
      </c>
      <c r="S7" s="68">
        <v>5171</v>
      </c>
      <c r="T7" s="121">
        <f>(S7-R7)/R7</f>
        <v>-0.67389796304471217</v>
      </c>
      <c r="U7" s="68">
        <v>20957</v>
      </c>
      <c r="V7" s="68">
        <v>10051</v>
      </c>
      <c r="W7" s="150">
        <f>(V7-U7)/U7</f>
        <v>-0.52039891205802358</v>
      </c>
      <c r="X7" s="68">
        <v>22487</v>
      </c>
      <c r="Y7" s="68">
        <v>7922</v>
      </c>
      <c r="Z7" s="150">
        <f>(Y7-X7)/X7</f>
        <v>-0.64770756437052524</v>
      </c>
      <c r="AA7" s="152">
        <v>22175</v>
      </c>
      <c r="AB7" s="68">
        <v>14041</v>
      </c>
      <c r="AC7" s="150">
        <f>(AB7-AA7)/AA7</f>
        <v>-0.36680947012401355</v>
      </c>
      <c r="AD7" s="152">
        <v>23799</v>
      </c>
      <c r="AE7" s="68">
        <v>14190</v>
      </c>
      <c r="AF7" s="150">
        <f>(AE7-AD7)/AD7</f>
        <v>-0.40375646035547713</v>
      </c>
      <c r="AG7" s="152">
        <v>21339</v>
      </c>
      <c r="AH7" s="68">
        <v>18373</v>
      </c>
      <c r="AI7" s="150">
        <f>(AH7-AG7)/AG7</f>
        <v>-0.13899432963119171</v>
      </c>
      <c r="AJ7" s="46">
        <v>23386</v>
      </c>
      <c r="AK7" s="68">
        <v>16782</v>
      </c>
      <c r="AL7" s="150">
        <f>(AK7-AJ7)/AJ7</f>
        <v>-0.28239117420679039</v>
      </c>
      <c r="AM7" s="151">
        <f t="shared" si="0"/>
        <v>244947</v>
      </c>
      <c r="AN7" s="151">
        <f t="shared" si="0"/>
        <v>143152</v>
      </c>
      <c r="AO7" s="122">
        <f>(AN7-AM7)/AM7</f>
        <v>-0.415579696832376</v>
      </c>
    </row>
    <row r="8" spans="2:44" s="10" customFormat="1">
      <c r="B8" s="47" t="s">
        <v>7</v>
      </c>
      <c r="C8" s="16">
        <f>SUM(C6:C7)</f>
        <v>82155</v>
      </c>
      <c r="D8" s="16">
        <f>SUM(D6:D7)</f>
        <v>80435</v>
      </c>
      <c r="E8" s="63">
        <f>(D8-C8)/C8</f>
        <v>-2.0936035542571969E-2</v>
      </c>
      <c r="F8" s="16">
        <f>SUM(F6:F7)</f>
        <v>81809</v>
      </c>
      <c r="G8" s="16">
        <f>SUM(G6:G7)</f>
        <v>79645</v>
      </c>
      <c r="H8" s="63">
        <f>(G8-F8)/F8</f>
        <v>-2.6451857375105428E-2</v>
      </c>
      <c r="I8" s="16">
        <f>SUM(I6:I7)</f>
        <v>90368</v>
      </c>
      <c r="J8" s="16">
        <f>SUM(J6:J7)</f>
        <v>76811</v>
      </c>
      <c r="K8" s="63">
        <f>(J8-I8)/I8</f>
        <v>-0.1500199185552408</v>
      </c>
      <c r="L8" s="16">
        <f>SUM(L6:L7)</f>
        <v>84056</v>
      </c>
      <c r="M8" s="16">
        <f>SUM(M6:M7)</f>
        <v>7868</v>
      </c>
      <c r="N8" s="63">
        <f>(M8-L8)/L8</f>
        <v>-0.90639573617588276</v>
      </c>
      <c r="O8" s="16">
        <f>SUM(O6:O7)</f>
        <v>84109</v>
      </c>
      <c r="P8" s="16">
        <f>SUM(P6:P7)</f>
        <v>3551</v>
      </c>
      <c r="Q8" s="63">
        <f>(P8-O8)/O8</f>
        <v>-0.9577809746876077</v>
      </c>
      <c r="R8" s="16">
        <f>SUM(R6:R7)</f>
        <v>59600</v>
      </c>
      <c r="S8" s="16">
        <f>SUM(S6:S7)</f>
        <v>12623</v>
      </c>
      <c r="T8" s="63">
        <f>(S8-R8)/R8</f>
        <v>-0.78820469798657722</v>
      </c>
      <c r="U8" s="16">
        <f>SUM(U6:U7)</f>
        <v>89614</v>
      </c>
      <c r="V8" s="16">
        <f>SUM(V6:V7)</f>
        <v>25283</v>
      </c>
      <c r="W8" s="95">
        <f>(V8-U8)/U8</f>
        <v>-0.71786774387930452</v>
      </c>
      <c r="X8" s="16">
        <f>SUM(X6:X7)</f>
        <v>90568</v>
      </c>
      <c r="Y8" s="16">
        <f>SUM(Y6:Y7)</f>
        <v>37291</v>
      </c>
      <c r="Z8" s="95">
        <f>(Y8-X8)/X8</f>
        <v>-0.58825412949386091</v>
      </c>
      <c r="AA8" s="16">
        <f>SUM(AA6:AA7)</f>
        <v>93175</v>
      </c>
      <c r="AB8" s="16">
        <f>SUM(AB6:AB7)</f>
        <v>48554</v>
      </c>
      <c r="AC8" s="95">
        <f>(AB8-AA8)/AA8</f>
        <v>-0.47889455325999464</v>
      </c>
      <c r="AD8" s="16">
        <f>SUM(AD6:AD7)</f>
        <v>96128</v>
      </c>
      <c r="AE8" s="16">
        <f>SUM(AE6:AE7)</f>
        <v>49043</v>
      </c>
      <c r="AF8" s="95">
        <f>(AE8-AD8)/AD8</f>
        <v>-0.48981566245006658</v>
      </c>
      <c r="AG8" s="16">
        <f>SUM(AG6:AG7)</f>
        <v>91240</v>
      </c>
      <c r="AH8" s="16">
        <f>SUM(AH6:AH7)</f>
        <v>53844</v>
      </c>
      <c r="AI8" s="95">
        <f>(AH8-AG8)/AG8</f>
        <v>-0.4098640946953091</v>
      </c>
      <c r="AJ8" s="16">
        <f>SUM(AJ6:AJ7)</f>
        <v>87664</v>
      </c>
      <c r="AK8" s="16">
        <f>SUM(AK6:AK7)</f>
        <v>57129</v>
      </c>
      <c r="AL8" s="95">
        <f>(AK8-AJ8)/AJ8</f>
        <v>-0.34831858003285271</v>
      </c>
      <c r="AM8" s="67">
        <f t="shared" si="0"/>
        <v>1030486</v>
      </c>
      <c r="AN8" s="67">
        <f t="shared" si="0"/>
        <v>532077</v>
      </c>
      <c r="AO8" s="39">
        <f>(AN8-AM8)/AM8</f>
        <v>-0.48366401872514519</v>
      </c>
      <c r="AQ8" s="25"/>
      <c r="AR8" s="24"/>
    </row>
    <row r="10" spans="2:44">
      <c r="B10" s="55" t="s">
        <v>22</v>
      </c>
      <c r="C10" s="61" t="s">
        <v>83</v>
      </c>
    </row>
    <row r="11" spans="2:44"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M11" s="184"/>
    </row>
    <row r="12" spans="2:44">
      <c r="D12" s="26"/>
      <c r="E12" s="26"/>
      <c r="F12" s="26"/>
      <c r="G12" s="26"/>
    </row>
    <row r="13" spans="2:44"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44">
      <c r="C14" s="27"/>
      <c r="D14" s="27"/>
      <c r="E14" s="27"/>
      <c r="F14" s="27"/>
      <c r="G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2:44">
      <c r="C15" s="27"/>
      <c r="D15" s="27"/>
      <c r="E15" s="27"/>
      <c r="F15" s="27"/>
      <c r="G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2:44">
      <c r="C16" s="27"/>
      <c r="D16" s="27"/>
      <c r="E16" s="27"/>
      <c r="F16" s="27"/>
      <c r="G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3:35">
      <c r="C17" s="27"/>
      <c r="D17" s="27"/>
      <c r="E17" s="27"/>
      <c r="F17" s="27"/>
      <c r="G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3:35">
      <c r="C18" s="27"/>
      <c r="D18" s="27"/>
      <c r="E18" s="27"/>
      <c r="F18" s="27"/>
      <c r="G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3:35">
      <c r="C19" s="27"/>
      <c r="D19" s="27"/>
      <c r="E19" s="27"/>
      <c r="F19" s="27"/>
      <c r="G19" s="27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C10" r:id="rId1" xr:uid="{B0504FD6-C519-4F7A-8B05-5437053E4791}"/>
  </hyperlinks>
  <pageMargins left="0.7" right="0.7" top="0.78740157499999996" bottom="0.78740157499999996" header="0.3" footer="0.3"/>
  <pageSetup paperSize="9" orientation="portrait" r:id="rId2"/>
  <ignoredErrors>
    <ignoredError sqref="AO7 Z6:Z7 AF6:AF7 AI6:AI7 AL6:AL7" evalError="1"/>
    <ignoredError sqref="C8:D8 F8:G8 I8:J8 L8:M8 O8:P8 R8:S8 U8:V8 X8:Y8 AA8:AB8 AD8:AE8 AG8:AH8 AJ8:AK8" formulaRange="1"/>
    <ignoredError sqref="E8 H8 K8 N8 Q8 T8 W8 AC8" formula="1"/>
    <ignoredError sqref="Z8 AF8 AI8" evalError="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E236C-C897-4D3C-8B84-18048E420E4A}">
  <dimension ref="A1:AR23"/>
  <sheetViews>
    <sheetView topLeftCell="B1" zoomScaleNormal="100" workbookViewId="0">
      <pane xSplit="1" topLeftCell="C1" activePane="topRight" state="frozen"/>
      <selection activeCell="B1" sqref="B1"/>
      <selection pane="topRight" activeCell="AJ13" sqref="AJ13"/>
    </sheetView>
  </sheetViews>
  <sheetFormatPr baseColWidth="10" defaultColWidth="11.42578125" defaultRowHeight="15"/>
  <cols>
    <col min="1" max="1" width="57" style="64" hidden="1" customWidth="1"/>
    <col min="2" max="2" width="19.28515625" style="64" customWidth="1"/>
    <col min="3" max="3" width="8.7109375" style="64" customWidth="1"/>
    <col min="4" max="4" width="9" style="64" customWidth="1"/>
    <col min="5" max="5" width="11.5703125" style="64" customWidth="1"/>
    <col min="6" max="6" width="9.140625" style="64" customWidth="1"/>
    <col min="7" max="7" width="10.140625" style="64" customWidth="1"/>
    <col min="8" max="8" width="10.85546875" style="64" customWidth="1"/>
    <col min="9" max="9" width="9.7109375" style="64" customWidth="1"/>
    <col min="10" max="10" width="9.42578125" style="64" customWidth="1"/>
    <col min="11" max="12" width="10" style="64" customWidth="1"/>
    <col min="13" max="13" width="9.7109375" style="64" customWidth="1"/>
    <col min="14" max="14" width="11.140625" style="64" customWidth="1"/>
    <col min="15" max="15" width="8.85546875" style="64" customWidth="1"/>
    <col min="16" max="16" width="10.42578125" style="64" customWidth="1"/>
    <col min="17" max="17" width="10.140625" style="64" bestFit="1" customWidth="1"/>
    <col min="18" max="18" width="10.42578125" style="64" customWidth="1"/>
    <col min="19" max="19" width="11.42578125" style="64" customWidth="1"/>
    <col min="20" max="20" width="11.42578125" style="64"/>
    <col min="21" max="21" width="10.42578125" style="64" customWidth="1"/>
    <col min="22" max="22" width="10.5703125" style="64" customWidth="1"/>
    <col min="23" max="16384" width="11.42578125" style="64"/>
  </cols>
  <sheetData>
    <row r="1" spans="2:44">
      <c r="B1" s="70" t="s">
        <v>114</v>
      </c>
    </row>
    <row r="2" spans="2:44">
      <c r="B2" s="87"/>
      <c r="S2" s="81"/>
    </row>
    <row r="4" spans="2:44" ht="45" customHeight="1">
      <c r="B4" s="65"/>
      <c r="C4" s="233" t="s">
        <v>8</v>
      </c>
      <c r="D4" s="233"/>
      <c r="E4" s="85" t="s">
        <v>30</v>
      </c>
      <c r="F4" s="233" t="s">
        <v>9</v>
      </c>
      <c r="G4" s="233"/>
      <c r="H4" s="83" t="s">
        <v>30</v>
      </c>
      <c r="I4" s="233" t="s">
        <v>10</v>
      </c>
      <c r="J4" s="233"/>
      <c r="K4" s="83" t="s">
        <v>30</v>
      </c>
      <c r="L4" s="233" t="s">
        <v>11</v>
      </c>
      <c r="M4" s="233"/>
      <c r="N4" s="82" t="s">
        <v>30</v>
      </c>
      <c r="O4" s="233" t="s">
        <v>0</v>
      </c>
      <c r="P4" s="233"/>
      <c r="Q4" s="83" t="s">
        <v>30</v>
      </c>
      <c r="R4" s="233" t="s">
        <v>1</v>
      </c>
      <c r="S4" s="233"/>
      <c r="T4" s="82" t="s">
        <v>30</v>
      </c>
      <c r="U4" s="231" t="s">
        <v>2</v>
      </c>
      <c r="V4" s="232"/>
      <c r="W4" s="82" t="s">
        <v>30</v>
      </c>
      <c r="X4" s="233" t="s">
        <v>12</v>
      </c>
      <c r="Y4" s="233"/>
      <c r="Z4" s="82" t="s">
        <v>30</v>
      </c>
      <c r="AA4" s="231" t="s">
        <v>13</v>
      </c>
      <c r="AB4" s="234"/>
      <c r="AC4" s="82" t="s">
        <v>30</v>
      </c>
      <c r="AD4" s="231" t="s">
        <v>14</v>
      </c>
      <c r="AE4" s="232"/>
      <c r="AF4" s="84" t="s">
        <v>30</v>
      </c>
      <c r="AG4" s="231" t="s">
        <v>15</v>
      </c>
      <c r="AH4" s="234"/>
      <c r="AI4" s="82" t="s">
        <v>30</v>
      </c>
      <c r="AJ4" s="231" t="s">
        <v>16</v>
      </c>
      <c r="AK4" s="234"/>
      <c r="AL4" s="84" t="s">
        <v>30</v>
      </c>
      <c r="AM4" s="231" t="s">
        <v>29</v>
      </c>
      <c r="AN4" s="232"/>
      <c r="AO4" s="237" t="s">
        <v>28</v>
      </c>
    </row>
    <row r="5" spans="2:44" ht="15" customHeight="1">
      <c r="B5" s="65"/>
      <c r="C5" s="71">
        <v>2019</v>
      </c>
      <c r="D5" s="71">
        <v>2020</v>
      </c>
      <c r="E5" s="74" t="s">
        <v>34</v>
      </c>
      <c r="F5" s="71">
        <v>2019</v>
      </c>
      <c r="G5" s="71">
        <v>2020</v>
      </c>
      <c r="H5" s="82" t="s">
        <v>34</v>
      </c>
      <c r="I5" s="71">
        <v>2019</v>
      </c>
      <c r="J5" s="71">
        <v>2020</v>
      </c>
      <c r="K5" s="82" t="s">
        <v>34</v>
      </c>
      <c r="L5" s="71">
        <v>2019</v>
      </c>
      <c r="M5" s="71">
        <v>2020</v>
      </c>
      <c r="N5" s="82" t="s">
        <v>34</v>
      </c>
      <c r="O5" s="71">
        <v>2019</v>
      </c>
      <c r="P5" s="71">
        <v>2020</v>
      </c>
      <c r="Q5" s="82" t="s">
        <v>34</v>
      </c>
      <c r="R5" s="71">
        <v>2019</v>
      </c>
      <c r="S5" s="71">
        <v>2020</v>
      </c>
      <c r="T5" s="82" t="s">
        <v>34</v>
      </c>
      <c r="U5" s="71">
        <v>2019</v>
      </c>
      <c r="V5" s="71">
        <v>2020</v>
      </c>
      <c r="W5" s="82" t="s">
        <v>34</v>
      </c>
      <c r="X5" s="71">
        <v>2019</v>
      </c>
      <c r="Y5" s="71">
        <v>2020</v>
      </c>
      <c r="Z5" s="82" t="s">
        <v>34</v>
      </c>
      <c r="AA5" s="71">
        <v>2019</v>
      </c>
      <c r="AB5" s="71">
        <v>2020</v>
      </c>
      <c r="AC5" s="82" t="s">
        <v>34</v>
      </c>
      <c r="AD5" s="71">
        <v>2019</v>
      </c>
      <c r="AE5" s="71">
        <v>2020</v>
      </c>
      <c r="AF5" s="84" t="s">
        <v>34</v>
      </c>
      <c r="AG5" s="71">
        <v>2019</v>
      </c>
      <c r="AH5" s="71">
        <v>2020</v>
      </c>
      <c r="AI5" s="82" t="s">
        <v>34</v>
      </c>
      <c r="AJ5" s="71">
        <v>2019</v>
      </c>
      <c r="AK5" s="71">
        <v>2020</v>
      </c>
      <c r="AL5" s="82" t="s">
        <v>34</v>
      </c>
      <c r="AM5" s="71">
        <v>2019</v>
      </c>
      <c r="AN5" s="71">
        <v>2020</v>
      </c>
      <c r="AO5" s="238"/>
    </row>
    <row r="6" spans="2:44">
      <c r="B6" s="75" t="s">
        <v>6</v>
      </c>
      <c r="C6" s="185">
        <v>36512</v>
      </c>
      <c r="D6" s="185">
        <v>39849</v>
      </c>
      <c r="E6" s="62">
        <f>(D6-C6)/C6</f>
        <v>9.1394609991235762E-2</v>
      </c>
      <c r="F6" s="185">
        <f>59719-C6</f>
        <v>23207</v>
      </c>
      <c r="G6" s="185">
        <f>63205-D6</f>
        <v>23356</v>
      </c>
      <c r="H6" s="62">
        <f>(G6-F6)/F6</f>
        <v>6.4204765803421385E-3</v>
      </c>
      <c r="I6" s="185">
        <f>87163-F6-C6</f>
        <v>27444</v>
      </c>
      <c r="J6" s="185">
        <f>80659-G6-D6</f>
        <v>17454</v>
      </c>
      <c r="K6" s="62">
        <f>(J6-I6)/I6</f>
        <v>-0.3640139921294272</v>
      </c>
      <c r="L6" s="185">
        <f>108770-I6-F6-C6</f>
        <v>21607</v>
      </c>
      <c r="M6" s="185">
        <f>82917-J6-G6-D6</f>
        <v>2258</v>
      </c>
      <c r="N6" s="62">
        <f>(M6-L6)/L6</f>
        <v>-0.89549682973110567</v>
      </c>
      <c r="O6" s="185">
        <f>128993-L6-I6-F6-C6</f>
        <v>20223</v>
      </c>
      <c r="P6" s="185">
        <f>92505-M6-J6-G6-D6</f>
        <v>9588</v>
      </c>
      <c r="Q6" s="62">
        <f>(P6-O6)/O6</f>
        <v>-0.52588636700786229</v>
      </c>
      <c r="R6" s="185">
        <f>149482-O6-L6-I6-F6-C6</f>
        <v>20489</v>
      </c>
      <c r="S6" s="185">
        <f>112626-P6-M6-J6-G6-D6</f>
        <v>20121</v>
      </c>
      <c r="T6" s="62">
        <f>(S6-R6)/R6</f>
        <v>-1.7960857045243788E-2</v>
      </c>
      <c r="U6" s="185">
        <f>171120-R6-O6-L6-I6-F6-C6</f>
        <v>21638</v>
      </c>
      <c r="V6" s="185">
        <f>134297-S6-P6-M6-J6-G6-D6</f>
        <v>21671</v>
      </c>
      <c r="W6" s="62">
        <f>(V6-U6)/U6</f>
        <v>1.525094740733894E-3</v>
      </c>
      <c r="X6" s="185">
        <f>189424-U6-R6-O6-L6-I6-F6-C6</f>
        <v>18304</v>
      </c>
      <c r="Y6" s="185">
        <f>153140-V6-S6-P6-M6-J6-G6-D6</f>
        <v>18843</v>
      </c>
      <c r="Z6" s="62">
        <f>(Y6-X6)/X6</f>
        <v>2.9447115384615384E-2</v>
      </c>
      <c r="AA6" s="169">
        <f>206011-X6-U6-R6-O6-L6-I6-G6-C6</f>
        <v>16438</v>
      </c>
      <c r="AB6" s="161">
        <f>170624-Y6-V6-S6-P6-M6-J6-G6-D6</f>
        <v>17484</v>
      </c>
      <c r="AC6" s="62">
        <f>(AB6-AA6)/AA6</f>
        <v>6.3633045382649953E-2</v>
      </c>
      <c r="AD6" s="185">
        <f>219280-AA6-X6-U6-R6-O6-L6-I6-F6-C6</f>
        <v>13418</v>
      </c>
      <c r="AE6" s="185">
        <f>184260-AB6-Y6-V6-S6-P6-M6-J6-G6-D6</f>
        <v>13636</v>
      </c>
      <c r="AF6" s="62">
        <f>(AE6-AD6)/AD6</f>
        <v>1.6246832612908033E-2</v>
      </c>
      <c r="AG6" s="185">
        <f>234571-AD6-AA6-X6-U6-R6-O6-L6-I6-F6-C6</f>
        <v>15291</v>
      </c>
      <c r="AH6" s="185">
        <f>198364-AE6-AB6-Y6-V6-S6-P6-M6-J6-G6-D6</f>
        <v>14104</v>
      </c>
      <c r="AI6" s="62">
        <f>(AH6-AG6)/AG6</f>
        <v>-7.7627362500817476E-2</v>
      </c>
      <c r="AJ6" s="4">
        <f>239671-AG6-AD6-AA6-X6-U6-R6-O6-L6-I6-F6-C6</f>
        <v>5100</v>
      </c>
      <c r="AK6" s="4">
        <f>202366-AH6-AE6-AB6-Y6-V6-S6-P6-M6-J6-G6-D6</f>
        <v>4002</v>
      </c>
      <c r="AL6" s="62">
        <f>(AK6-AJ6)/AJ6</f>
        <v>-0.21529411764705883</v>
      </c>
      <c r="AM6" s="111">
        <f>C6+F6+I6+L6+O6+R6+U6+X6+AA6+AD6+AG6+AJ6</f>
        <v>239671</v>
      </c>
      <c r="AN6" s="67">
        <f>D6+G6+J6+M6+P6+S6+V6+Y6+AB6+AE6+AH6+AK6</f>
        <v>202366</v>
      </c>
      <c r="AO6" s="72">
        <f>(AN6-AM6)/AM6</f>
        <v>-0.15565087140288145</v>
      </c>
    </row>
    <row r="7" spans="2:44">
      <c r="B7" s="75" t="s">
        <v>3</v>
      </c>
      <c r="C7" s="185">
        <v>1963</v>
      </c>
      <c r="D7" s="185">
        <v>1863</v>
      </c>
      <c r="E7" s="62">
        <f>(D7-C7)/C7</f>
        <v>-5.0942435048395317E-2</v>
      </c>
      <c r="F7" s="185">
        <f>3276-C7</f>
        <v>1313</v>
      </c>
      <c r="G7" s="185">
        <f>3368-D7</f>
        <v>1505</v>
      </c>
      <c r="H7" s="62">
        <f>(G7-F7)/F7</f>
        <v>0.14623000761614624</v>
      </c>
      <c r="I7" s="185">
        <f>4955-F7-C7</f>
        <v>1679</v>
      </c>
      <c r="J7" s="185">
        <f>4509-G7-D7</f>
        <v>1141</v>
      </c>
      <c r="K7" s="62">
        <f>(J7-I7)/I7</f>
        <v>-0.32042882668254913</v>
      </c>
      <c r="L7" s="185">
        <f>6077-I7-F7-C7</f>
        <v>1122</v>
      </c>
      <c r="M7" s="184">
        <f>4813-J7-G7-D7</f>
        <v>304</v>
      </c>
      <c r="N7" s="62">
        <f>(M7-L7)/L7</f>
        <v>-0.72905525846702313</v>
      </c>
      <c r="O7" s="185">
        <f>7251-L7-I7-F7-C7</f>
        <v>1174</v>
      </c>
      <c r="P7" s="185">
        <f>5572-M7-J7-G7-D7</f>
        <v>759</v>
      </c>
      <c r="Q7" s="62">
        <f>(P7-O7)/O7</f>
        <v>-0.3534923339011925</v>
      </c>
      <c r="R7" s="185">
        <f>8600-O7-L7-I7-F7-C7</f>
        <v>1349</v>
      </c>
      <c r="S7" s="185">
        <f>6668-P7-M7-J7-G7-D7</f>
        <v>1096</v>
      </c>
      <c r="T7" s="62">
        <f>(S7-R7)/R7</f>
        <v>-0.18754633061527057</v>
      </c>
      <c r="U7" s="185">
        <f>9955-R7-O7-L7-I7-F7-C7</f>
        <v>1355</v>
      </c>
      <c r="V7" s="184">
        <f>7693-S7-P7-M7-J7-G7-D7</f>
        <v>1025</v>
      </c>
      <c r="W7" s="62">
        <f>(V7-U7)/U7</f>
        <v>-0.24354243542435425</v>
      </c>
      <c r="X7" s="185">
        <f>10930-U7-R7-O7-L7-I7-F7-C7</f>
        <v>975</v>
      </c>
      <c r="Y7" s="185">
        <f>8940-V7-S7-P7-M7-J7-G7-D7</f>
        <v>1247</v>
      </c>
      <c r="Z7" s="62">
        <f>(Y7-X7)/X7</f>
        <v>0.27897435897435896</v>
      </c>
      <c r="AA7" s="169">
        <f>12083-X7-U7-R7-O7-L7-I7-F7-C7</f>
        <v>1153</v>
      </c>
      <c r="AB7" s="161">
        <f>9903-Y7-V7-S7-P7-M7-J7-G7-D7</f>
        <v>963</v>
      </c>
      <c r="AC7" s="62">
        <f>(AB7-AA7)/AA7</f>
        <v>-0.1647875108412836</v>
      </c>
      <c r="AD7" s="185">
        <f>12797-AA7-X7-U7-R7-O7-L7-I7-F7-C7</f>
        <v>714</v>
      </c>
      <c r="AE7" s="185">
        <f>10826-AB7-Y7-V7-S7-P7-M7-J7-G7-D7</f>
        <v>923</v>
      </c>
      <c r="AF7" s="62">
        <f>(AE7-AD7)/AD7</f>
        <v>0.29271708683473391</v>
      </c>
      <c r="AG7" s="185">
        <f>13786-AD7-AA7-X7-U7-R7-O7-L7-I7-F7-C7</f>
        <v>989</v>
      </c>
      <c r="AH7" s="185">
        <f>11722-AE7-AB7-Y7-V7-S7-P7-M7-J7-G7-D7</f>
        <v>896</v>
      </c>
      <c r="AI7" s="62">
        <f>(AH7-AG7)/AG7</f>
        <v>-9.4034378159757334E-2</v>
      </c>
      <c r="AJ7" s="4">
        <f>14267-AG7-AD7-AA7-X7-U7-R7-O7-L7-I7-F7-C7</f>
        <v>481</v>
      </c>
      <c r="AK7" s="185">
        <f>12178-AH7-AE7-AB7-Y7-V7-S7-P7-M7-J7-G7-D7</f>
        <v>456</v>
      </c>
      <c r="AL7" s="62">
        <f>(AK7-AJ7)/AJ7</f>
        <v>-5.1975051975051978E-2</v>
      </c>
      <c r="AM7" s="111">
        <f t="shared" ref="AM7:AN10" si="0">C7+F7+I7+L7+O7+R7+U7+X7+AA7+AD7+AG7+AJ7</f>
        <v>14267</v>
      </c>
      <c r="AN7" s="67">
        <f t="shared" si="0"/>
        <v>12178</v>
      </c>
      <c r="AO7" s="72">
        <f>(AN7-AM7)/AM7</f>
        <v>-0.14642181257447257</v>
      </c>
    </row>
    <row r="8" spans="2:44">
      <c r="B8" s="75" t="s">
        <v>4</v>
      </c>
      <c r="C8" s="185">
        <v>1315</v>
      </c>
      <c r="D8" s="185">
        <v>1362</v>
      </c>
      <c r="E8" s="62">
        <f>(D8-C8)/C8</f>
        <v>3.5741444866920151E-2</v>
      </c>
      <c r="F8" s="185">
        <f>2309-C8</f>
        <v>994</v>
      </c>
      <c r="G8" s="185">
        <f>2388-D8</f>
        <v>1026</v>
      </c>
      <c r="H8" s="62">
        <f>(G8-F8)/F8</f>
        <v>3.2193158953722337E-2</v>
      </c>
      <c r="I8" s="185">
        <f>3393-F8-C8</f>
        <v>1084</v>
      </c>
      <c r="J8" s="185">
        <f>3213-G8-D8</f>
        <v>825</v>
      </c>
      <c r="K8" s="62">
        <f>(J8-I8)/I8</f>
        <v>-0.238929889298893</v>
      </c>
      <c r="L8" s="185">
        <f>4342-I8-F8-C8</f>
        <v>949</v>
      </c>
      <c r="M8" s="185">
        <f>3641-J8-G8-D8</f>
        <v>428</v>
      </c>
      <c r="N8" s="62">
        <f>(M8-L8)/L8</f>
        <v>-0.54899894625922019</v>
      </c>
      <c r="O8" s="185">
        <f>5265-L8-I8-F8-C8</f>
        <v>923</v>
      </c>
      <c r="P8" s="185">
        <f>4315-M8-J8-G8-D8</f>
        <v>674</v>
      </c>
      <c r="Q8" s="62">
        <f>(P8-O8)/O8</f>
        <v>-0.26977248104008666</v>
      </c>
      <c r="R8" s="185">
        <f>6158-O8-L8-I8-F8-C8</f>
        <v>893</v>
      </c>
      <c r="S8" s="185">
        <f>5182-P8-M8-J8-G8-D8</f>
        <v>867</v>
      </c>
      <c r="T8" s="62">
        <f>(S8-R8)/R8</f>
        <v>-2.9115341545352745E-2</v>
      </c>
      <c r="U8" s="185">
        <f>7210-R8-O8-L8-I8-F8-C8</f>
        <v>1052</v>
      </c>
      <c r="V8" s="185">
        <f>6127-S8-P8-M8-J8-G8-D8</f>
        <v>945</v>
      </c>
      <c r="W8" s="62">
        <f>(V8-U8)/U8</f>
        <v>-0.10171102661596958</v>
      </c>
      <c r="X8" s="185">
        <f>8184-U8-R8-O8-L8-I8-F8-C8</f>
        <v>974</v>
      </c>
      <c r="Y8" s="185">
        <f>7060-V8-S8-P8-M8-J8-G8-D8</f>
        <v>933</v>
      </c>
      <c r="Z8" s="62">
        <f>(Y8-X8)/X8</f>
        <v>-4.2094455852156057E-2</v>
      </c>
      <c r="AA8" s="169">
        <f>9082-X8-U8-R8-O8-L8-I8-F8-C8</f>
        <v>898</v>
      </c>
      <c r="AB8" s="161">
        <f>7792-Y8-V8-S8-P8-M8-J8-G8-D8</f>
        <v>732</v>
      </c>
      <c r="AC8" s="62">
        <f>(AB8-AA8)/AA8</f>
        <v>-0.18485523385300667</v>
      </c>
      <c r="AD8" s="185">
        <f>9741-AA8-X8-U8-R8-O8-L8-I8-F8-C8</f>
        <v>659</v>
      </c>
      <c r="AE8" s="185">
        <f>8538-AB8-Y8-V8-S8-P8-M8-J8-G8-D8</f>
        <v>746</v>
      </c>
      <c r="AF8" s="62">
        <f>(AE8-AD8)/AD8</f>
        <v>0.13201820940819423</v>
      </c>
      <c r="AG8" s="185">
        <f>10393-AD8-AA8-X8-U8-R8-O8-L8-I8-F8-C8</f>
        <v>652</v>
      </c>
      <c r="AH8" s="185">
        <f>9274-AE8-AB8-Y8-V8-S8-P8-M8-J8-G8-D8</f>
        <v>736</v>
      </c>
      <c r="AI8" s="62">
        <f>(AH8-AG8)/AG8</f>
        <v>0.12883435582822086</v>
      </c>
      <c r="AJ8" s="4">
        <f>10910-AG8-AD8-AA8-X8-U8-R8-O8-L8-I8-F8-C8</f>
        <v>517</v>
      </c>
      <c r="AK8" s="185">
        <f>9635-AH8-AE8-AB8-Y8-V8-S8-P8-M8-J8-G8-D8</f>
        <v>361</v>
      </c>
      <c r="AL8" s="62">
        <f>(AK8-AJ8)/AJ8</f>
        <v>-0.30174081237911027</v>
      </c>
      <c r="AM8" s="111">
        <f t="shared" si="0"/>
        <v>10910</v>
      </c>
      <c r="AN8" s="67">
        <f t="shared" si="0"/>
        <v>9635</v>
      </c>
      <c r="AO8" s="72">
        <f>(AN8-AM8)/AM8</f>
        <v>-0.11686526122823097</v>
      </c>
    </row>
    <row r="9" spans="2:44">
      <c r="B9" s="75" t="s">
        <v>5</v>
      </c>
      <c r="C9" s="185">
        <v>332</v>
      </c>
      <c r="D9" s="185">
        <v>368</v>
      </c>
      <c r="E9" s="62">
        <f>(D9-C9)/C9</f>
        <v>0.10843373493975904</v>
      </c>
      <c r="F9" s="185">
        <f>692-C9</f>
        <v>360</v>
      </c>
      <c r="G9" s="185">
        <f>654-D9</f>
        <v>286</v>
      </c>
      <c r="H9" s="62">
        <f>(G9-F9)/F9</f>
        <v>-0.20555555555555555</v>
      </c>
      <c r="I9" s="185">
        <f>1029-F9-C9</f>
        <v>337</v>
      </c>
      <c r="J9" s="185">
        <f>818-G9-D9</f>
        <v>164</v>
      </c>
      <c r="K9" s="62">
        <f>(J9-I9)/I9</f>
        <v>-0.51335311572700293</v>
      </c>
      <c r="L9" s="185">
        <f>1218-I9-F9-C9</f>
        <v>189</v>
      </c>
      <c r="M9" s="185">
        <f>849-J9-G9-D9</f>
        <v>31</v>
      </c>
      <c r="N9" s="62">
        <f>(M9-L9)/L9</f>
        <v>-0.83597883597883593</v>
      </c>
      <c r="O9" s="185">
        <f>1467-L9-I9-F9-C9</f>
        <v>249</v>
      </c>
      <c r="P9" s="185">
        <f>949-M9-J9-G9-D9</f>
        <v>100</v>
      </c>
      <c r="Q9" s="62">
        <f>(P9-O9)/O9</f>
        <v>-0.59839357429718876</v>
      </c>
      <c r="R9" s="185">
        <f>1731-O9-L9-I9-F9-C9</f>
        <v>264</v>
      </c>
      <c r="S9" s="185">
        <f>1090-P9-M9-J9-G9-D9</f>
        <v>141</v>
      </c>
      <c r="T9" s="62">
        <f>(S9-R9)/R9</f>
        <v>-0.46590909090909088</v>
      </c>
      <c r="U9" s="185">
        <f>2080-R9-O9-L9-I9-F9-C9</f>
        <v>349</v>
      </c>
      <c r="V9" s="185">
        <f>1256-S9-P9-M9-J9-G9-D9</f>
        <v>166</v>
      </c>
      <c r="W9" s="62">
        <f>(V9-U9)/U9</f>
        <v>-0.52435530085959881</v>
      </c>
      <c r="X9" s="185">
        <f>2441-U9-R9-O9-L9-I9-F9-C9</f>
        <v>361</v>
      </c>
      <c r="Y9" s="185">
        <f>1478-V9-S9-P9-M9-J9-G9-D9</f>
        <v>222</v>
      </c>
      <c r="Z9" s="62">
        <f>(Y9-X9)/X9</f>
        <v>-0.38504155124653738</v>
      </c>
      <c r="AA9" s="184">
        <f>2777-X9-U9-R9-O9-L9-I9-F9-C9</f>
        <v>336</v>
      </c>
      <c r="AB9" s="161">
        <f>1611-Y9-V9-S9-P9-M9-J9-G9-D9</f>
        <v>133</v>
      </c>
      <c r="AC9" s="62">
        <f>(AB9-AA9)/AA9</f>
        <v>-0.60416666666666663</v>
      </c>
      <c r="AD9" s="185">
        <f>2988-AA9-X9-U9-R9-O9-L9-I9-F9-C9</f>
        <v>211</v>
      </c>
      <c r="AE9" s="185">
        <f>1733-AB9-Y9-V9-S9-P9-M9-J9-G9-D9</f>
        <v>122</v>
      </c>
      <c r="AF9" s="62">
        <f>(AE9-AD9)/AD9</f>
        <v>-0.4218009478672986</v>
      </c>
      <c r="AG9" s="184">
        <f>3198-AD9-AA9-X9-U9-R9-O9-L9-I9-F9-C9</f>
        <v>210</v>
      </c>
      <c r="AH9" s="185">
        <f>1857-AE9-AB9-Y9-V9-S9-P9-M9-J9-G9-D9</f>
        <v>124</v>
      </c>
      <c r="AI9" s="62">
        <f>(AH9-AG9)/AG9</f>
        <v>-0.40952380952380951</v>
      </c>
      <c r="AJ9" s="4">
        <f>3372-AG9-AD9-AA9-X9-U9-R9-O9-L9-I9-F9-C9</f>
        <v>174</v>
      </c>
      <c r="AK9" s="185">
        <f>1938-AH9-AE9-AB9-Y9-V9-S9-P9-M9-J9-G9-D9</f>
        <v>81</v>
      </c>
      <c r="AL9" s="62">
        <f>(AK9-AJ9)/AJ9</f>
        <v>-0.53448275862068961</v>
      </c>
      <c r="AM9" s="111">
        <f t="shared" si="0"/>
        <v>3372</v>
      </c>
      <c r="AN9" s="67">
        <f t="shared" si="0"/>
        <v>1938</v>
      </c>
      <c r="AO9" s="72">
        <f>(AN9-AM9)/AM9</f>
        <v>-0.42526690391459077</v>
      </c>
    </row>
    <row r="10" spans="2:44" s="70" customFormat="1">
      <c r="B10" s="76" t="s">
        <v>7</v>
      </c>
      <c r="C10" s="67">
        <f>SUM(C6:C9)</f>
        <v>40122</v>
      </c>
      <c r="D10" s="67">
        <f>SUM(D6:D9)</f>
        <v>43442</v>
      </c>
      <c r="E10" s="63">
        <f>(D10-C10)/C10</f>
        <v>8.2747619759732813E-2</v>
      </c>
      <c r="F10" s="67">
        <f>SUM(F6:F9)</f>
        <v>25874</v>
      </c>
      <c r="G10" s="67">
        <f>SUM(G6:G9)</f>
        <v>26173</v>
      </c>
      <c r="H10" s="63">
        <f>(G10-F10)/F10</f>
        <v>1.1556002164334854E-2</v>
      </c>
      <c r="I10" s="67">
        <f>SUM(I6:I9)</f>
        <v>30544</v>
      </c>
      <c r="J10" s="67">
        <f>SUM(J6:J9)</f>
        <v>19584</v>
      </c>
      <c r="K10" s="63">
        <f>(J10-I10)/I10</f>
        <v>-0.35882661079099004</v>
      </c>
      <c r="L10" s="67">
        <f>SUM(L6:L9)</f>
        <v>23867</v>
      </c>
      <c r="M10" s="67">
        <f>SUM(M6:M9)</f>
        <v>3021</v>
      </c>
      <c r="N10" s="63">
        <f>(M10-L10)/L10</f>
        <v>-0.87342355553693385</v>
      </c>
      <c r="O10" s="67">
        <f>SUM(O6:O9)</f>
        <v>22569</v>
      </c>
      <c r="P10" s="67">
        <f>SUM(P6:P9)</f>
        <v>11121</v>
      </c>
      <c r="Q10" s="63">
        <f>(P10-O10)/O10</f>
        <v>-0.50724445035225307</v>
      </c>
      <c r="R10" s="67">
        <f>SUM(R6:R9)</f>
        <v>22995</v>
      </c>
      <c r="S10" s="67">
        <f>SUM(S6:S9)</f>
        <v>22225</v>
      </c>
      <c r="T10" s="63">
        <f>(S10-R10)/R10</f>
        <v>-3.3485540334855401E-2</v>
      </c>
      <c r="U10" s="67">
        <f>SUM(U6:U9)</f>
        <v>24394</v>
      </c>
      <c r="V10" s="67">
        <f>SUM(V6:V9)</f>
        <v>23807</v>
      </c>
      <c r="W10" s="63">
        <f>(V10-U10)/U10</f>
        <v>-2.4063294252685087E-2</v>
      </c>
      <c r="X10" s="67">
        <f>SUM(X6:X9)</f>
        <v>20614</v>
      </c>
      <c r="Y10" s="67">
        <f>SUM(Y6:Y9)</f>
        <v>21245</v>
      </c>
      <c r="Z10" s="63">
        <f>(Y10-X10)/X10</f>
        <v>3.0610264868535946E-2</v>
      </c>
      <c r="AA10" s="67">
        <f>SUM(AA6:AA9)</f>
        <v>18825</v>
      </c>
      <c r="AB10" s="67">
        <f>SUM(AB6:AB9)</f>
        <v>19312</v>
      </c>
      <c r="AC10" s="63">
        <f>(AB10-AA10)/AA10</f>
        <v>2.5869853917662684E-2</v>
      </c>
      <c r="AD10" s="67">
        <f>SUM(AD6:AD9)</f>
        <v>15002</v>
      </c>
      <c r="AE10" s="67">
        <f>SUM(AE6:AE9)</f>
        <v>15427</v>
      </c>
      <c r="AF10" s="63">
        <f>(AE10-AD10)/AD10</f>
        <v>2.8329556059192108E-2</v>
      </c>
      <c r="AG10" s="67">
        <f>SUM(AG6:AG9)</f>
        <v>17142</v>
      </c>
      <c r="AH10" s="67">
        <f>SUM(AH6:AH9)</f>
        <v>15860</v>
      </c>
      <c r="AI10" s="63">
        <f>(AH10-AG10)/AG10</f>
        <v>-7.4787072686967687E-2</v>
      </c>
      <c r="AJ10" s="187">
        <f>SUM(AJ6:AJ9)</f>
        <v>6272</v>
      </c>
      <c r="AK10" s="187">
        <f>SUM(AK6:AK9)</f>
        <v>4900</v>
      </c>
      <c r="AL10" s="63">
        <f>(AK10-AJ10)/AJ10</f>
        <v>-0.21875</v>
      </c>
      <c r="AM10" s="111">
        <f t="shared" si="0"/>
        <v>268220</v>
      </c>
      <c r="AN10" s="67">
        <f t="shared" si="0"/>
        <v>226117</v>
      </c>
      <c r="AO10" s="73">
        <f>(AN10-AM10)/AM10</f>
        <v>-0.15697188874804266</v>
      </c>
      <c r="AQ10" s="64"/>
      <c r="AR10" s="79"/>
    </row>
    <row r="12" spans="2:44">
      <c r="B12" s="64" t="s">
        <v>115</v>
      </c>
      <c r="AI12" s="184"/>
      <c r="AJ12" s="184"/>
      <c r="AK12" s="184"/>
      <c r="AL12" s="184"/>
      <c r="AM12" s="184"/>
    </row>
    <row r="13" spans="2:44"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184"/>
      <c r="AJ13" s="184"/>
      <c r="AK13" s="184"/>
      <c r="AL13" s="184"/>
      <c r="AM13" s="184"/>
    </row>
    <row r="14" spans="2:44">
      <c r="B14" s="64" t="s">
        <v>137</v>
      </c>
      <c r="C14" s="80"/>
      <c r="D14" s="80"/>
      <c r="E14" s="80"/>
      <c r="F14" s="80"/>
      <c r="G14" s="80"/>
      <c r="AF14" s="184"/>
      <c r="AG14" s="184"/>
      <c r="AH14" s="184"/>
      <c r="AI14" s="184"/>
      <c r="AJ14" s="184"/>
      <c r="AK14" s="184"/>
      <c r="AL14" s="184"/>
      <c r="AM14" s="184"/>
    </row>
    <row r="15" spans="2:44">
      <c r="B15" s="64" t="s">
        <v>138</v>
      </c>
      <c r="W15" s="81"/>
      <c r="X15" s="81"/>
      <c r="Y15" s="81"/>
      <c r="Z15" s="81"/>
      <c r="AA15" s="81"/>
      <c r="AB15" s="81"/>
      <c r="AC15" s="81"/>
      <c r="AD15" s="81"/>
      <c r="AE15" s="81"/>
      <c r="AF15" s="184"/>
      <c r="AG15" s="184"/>
      <c r="AH15" s="184"/>
      <c r="AI15" s="184"/>
      <c r="AJ15" s="184"/>
      <c r="AK15" s="184"/>
      <c r="AL15" s="184"/>
      <c r="AM15" s="184"/>
    </row>
    <row r="16" spans="2:44">
      <c r="C16" s="81"/>
      <c r="D16" s="81"/>
      <c r="E16" s="81"/>
      <c r="F16" s="81"/>
      <c r="G16" s="81"/>
      <c r="W16" s="81"/>
      <c r="X16" s="81"/>
      <c r="Y16" s="81"/>
      <c r="Z16" s="81"/>
      <c r="AA16" s="81"/>
      <c r="AB16" s="81"/>
      <c r="AC16" s="81"/>
      <c r="AD16" s="81"/>
      <c r="AE16" s="81"/>
      <c r="AF16" s="184"/>
      <c r="AG16" s="184"/>
      <c r="AH16" s="184"/>
      <c r="AI16" s="184"/>
      <c r="AJ16" s="184"/>
      <c r="AK16" s="184"/>
      <c r="AL16" s="184"/>
      <c r="AM16" s="184"/>
    </row>
    <row r="17" spans="3:39">
      <c r="C17" s="81"/>
      <c r="D17" s="81"/>
      <c r="E17" s="81"/>
      <c r="F17" s="81"/>
      <c r="G17" s="81"/>
      <c r="W17" s="81"/>
      <c r="X17" s="81"/>
      <c r="Y17" s="81"/>
      <c r="Z17" s="81"/>
      <c r="AA17" s="81"/>
      <c r="AB17" s="81"/>
      <c r="AC17" s="81"/>
      <c r="AD17" s="81"/>
      <c r="AE17" s="81"/>
      <c r="AF17" s="184"/>
      <c r="AG17" s="184"/>
      <c r="AH17" s="184"/>
      <c r="AI17" s="184"/>
      <c r="AJ17" s="184"/>
      <c r="AK17" s="184"/>
      <c r="AL17" s="184"/>
      <c r="AM17" s="184"/>
    </row>
    <row r="18" spans="3:39">
      <c r="C18" s="81"/>
      <c r="D18" s="81"/>
      <c r="E18" s="81"/>
      <c r="F18" s="81"/>
      <c r="G18" s="81"/>
      <c r="W18" s="81"/>
      <c r="X18" s="81"/>
      <c r="Y18" s="81"/>
      <c r="Z18" s="81"/>
      <c r="AA18" s="81"/>
      <c r="AB18" s="81"/>
      <c r="AC18" s="81"/>
      <c r="AD18" s="81"/>
      <c r="AE18" s="81"/>
      <c r="AF18" s="184"/>
      <c r="AG18" s="184"/>
      <c r="AH18" s="184"/>
      <c r="AI18" s="184"/>
      <c r="AJ18" s="184"/>
      <c r="AK18" s="184"/>
      <c r="AL18" s="184"/>
      <c r="AM18" s="184"/>
    </row>
    <row r="19" spans="3:39">
      <c r="C19" s="81"/>
      <c r="D19" s="81"/>
      <c r="E19" s="81"/>
      <c r="F19" s="81"/>
      <c r="G19" s="81"/>
      <c r="W19" s="81"/>
      <c r="X19" s="81"/>
      <c r="Y19" s="81"/>
      <c r="Z19" s="81"/>
      <c r="AA19" s="81"/>
      <c r="AB19" s="81"/>
      <c r="AC19" s="81"/>
      <c r="AD19" s="81"/>
      <c r="AE19" s="81"/>
      <c r="AF19" s="184"/>
      <c r="AG19" s="184"/>
      <c r="AH19" s="184"/>
      <c r="AI19" s="184"/>
      <c r="AJ19" s="184"/>
      <c r="AK19" s="184"/>
      <c r="AL19" s="184"/>
      <c r="AM19" s="184"/>
    </row>
    <row r="20" spans="3:39">
      <c r="C20" s="81"/>
      <c r="D20" s="81"/>
      <c r="E20" s="81"/>
      <c r="F20" s="81"/>
      <c r="G20" s="81"/>
      <c r="W20" s="81"/>
      <c r="X20" s="81"/>
      <c r="Y20" s="81"/>
      <c r="Z20" s="81"/>
      <c r="AA20" s="81"/>
      <c r="AB20" s="81"/>
      <c r="AC20" s="81"/>
      <c r="AD20" s="81"/>
      <c r="AE20" s="81"/>
      <c r="AF20" s="184"/>
      <c r="AG20" s="184"/>
      <c r="AH20" s="184"/>
      <c r="AI20" s="184"/>
      <c r="AJ20" s="184"/>
      <c r="AK20" s="184"/>
    </row>
    <row r="21" spans="3:39">
      <c r="C21" s="81"/>
      <c r="D21" s="81"/>
      <c r="E21" s="81"/>
      <c r="F21" s="81"/>
      <c r="G21" s="81"/>
      <c r="AF21" s="184"/>
      <c r="AG21" s="184"/>
      <c r="AH21" s="184"/>
      <c r="AI21" s="184"/>
      <c r="AJ21" s="184"/>
      <c r="AK21" s="184"/>
    </row>
    <row r="22" spans="3:39">
      <c r="AF22" s="184"/>
      <c r="AG22" s="184"/>
      <c r="AH22" s="184"/>
      <c r="AI22" s="184"/>
      <c r="AJ22" s="184"/>
      <c r="AK22" s="184"/>
    </row>
    <row r="23" spans="3:39">
      <c r="AF23" s="184"/>
      <c r="AG23" s="184"/>
      <c r="AH23" s="184"/>
      <c r="AI23" s="184"/>
      <c r="AJ23" s="184"/>
      <c r="AK23" s="184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pageMargins left="0.7" right="0.7" top="0.78740157499999996" bottom="0.78740157499999996" header="0.3" footer="0.3"/>
  <pageSetup paperSize="9" orientation="portrait" r:id="rId1"/>
  <ignoredErrors>
    <ignoredError sqref="C10:D10 F10:G10 I10:J10 L10:M10 O10:P10 R10:S10 U10:V10 X10:Y10 AA10:AB10 AD10:AE10 AG10:AH10 AJ10:AK10" formulaRange="1"/>
    <ignoredError sqref="E10 H10 K10 N10 Q10 T10 W10 Z10 AC10 AI10" formula="1"/>
    <ignoredError sqref="AF6:AF9" evalError="1"/>
    <ignoredError sqref="AF10" evalError="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4ACC6-9AB4-4C51-A641-A90B4DEC5387}">
  <dimension ref="A1:AR21"/>
  <sheetViews>
    <sheetView topLeftCell="B4" zoomScaleNormal="100" workbookViewId="0">
      <pane xSplit="1" topLeftCell="AE1" activePane="topRight" state="frozen"/>
      <selection activeCell="B1" sqref="B1"/>
      <selection pane="topRight" activeCell="AM14" sqref="AM14"/>
    </sheetView>
  </sheetViews>
  <sheetFormatPr baseColWidth="10" defaultColWidth="11.42578125" defaultRowHeight="15"/>
  <cols>
    <col min="1" max="1" width="57" style="64" hidden="1" customWidth="1"/>
    <col min="2" max="2" width="19.28515625" style="64" customWidth="1"/>
    <col min="3" max="3" width="9.7109375" style="64" customWidth="1"/>
    <col min="4" max="4" width="10" style="64" customWidth="1"/>
    <col min="5" max="5" width="11.5703125" style="64" customWidth="1"/>
    <col min="6" max="6" width="9.5703125" style="64" customWidth="1"/>
    <col min="7" max="7" width="11.7109375" style="64" customWidth="1"/>
    <col min="8" max="8" width="10.85546875" style="64" customWidth="1"/>
    <col min="9" max="9" width="9.7109375" style="64" customWidth="1"/>
    <col min="10" max="10" width="9.42578125" style="64" customWidth="1"/>
    <col min="11" max="12" width="10" style="64" customWidth="1"/>
    <col min="13" max="13" width="9.7109375" style="64" customWidth="1"/>
    <col min="14" max="14" width="11.140625" style="64" customWidth="1"/>
    <col min="15" max="15" width="8.85546875" style="64" customWidth="1"/>
    <col min="16" max="16" width="10.42578125" style="64" customWidth="1"/>
    <col min="17" max="17" width="9.85546875" style="64" bestFit="1" customWidth="1"/>
    <col min="18" max="18" width="9" style="64" customWidth="1"/>
    <col min="19" max="19" width="9.5703125" style="64" customWidth="1"/>
    <col min="20" max="21" width="11.42578125" style="64"/>
    <col min="22" max="22" width="10.5703125" style="64" customWidth="1"/>
    <col min="23" max="23" width="9.85546875" style="64" bestFit="1" customWidth="1"/>
    <col min="24" max="32" width="11.42578125" style="64"/>
    <col min="33" max="38" width="11.42578125" style="64" customWidth="1"/>
    <col min="39" max="16384" width="11.42578125" style="64"/>
  </cols>
  <sheetData>
    <row r="1" spans="2:44">
      <c r="B1" s="70" t="s">
        <v>86</v>
      </c>
    </row>
    <row r="2" spans="2:44">
      <c r="B2" s="70"/>
    </row>
    <row r="4" spans="2:44" ht="45" customHeight="1">
      <c r="B4" s="1"/>
      <c r="C4" s="242" t="s">
        <v>8</v>
      </c>
      <c r="D4" s="242"/>
      <c r="E4" s="85" t="s">
        <v>30</v>
      </c>
      <c r="F4" s="242" t="s">
        <v>9</v>
      </c>
      <c r="G4" s="242"/>
      <c r="H4" s="83" t="s">
        <v>30</v>
      </c>
      <c r="I4" s="242" t="s">
        <v>10</v>
      </c>
      <c r="J4" s="242"/>
      <c r="K4" s="83" t="s">
        <v>30</v>
      </c>
      <c r="L4" s="242" t="s">
        <v>11</v>
      </c>
      <c r="M4" s="242"/>
      <c r="N4" s="174" t="s">
        <v>30</v>
      </c>
      <c r="O4" s="242" t="s">
        <v>0</v>
      </c>
      <c r="P4" s="242"/>
      <c r="Q4" s="83" t="s">
        <v>30</v>
      </c>
      <c r="R4" s="242" t="s">
        <v>1</v>
      </c>
      <c r="S4" s="242"/>
      <c r="T4" s="174" t="s">
        <v>30</v>
      </c>
      <c r="U4" s="231" t="s">
        <v>2</v>
      </c>
      <c r="V4" s="232"/>
      <c r="W4" s="174" t="s">
        <v>30</v>
      </c>
      <c r="X4" s="242" t="s">
        <v>12</v>
      </c>
      <c r="Y4" s="242"/>
      <c r="Z4" s="174" t="s">
        <v>30</v>
      </c>
      <c r="AA4" s="231" t="s">
        <v>13</v>
      </c>
      <c r="AB4" s="234"/>
      <c r="AC4" s="174" t="s">
        <v>30</v>
      </c>
      <c r="AD4" s="231" t="s">
        <v>14</v>
      </c>
      <c r="AE4" s="232"/>
      <c r="AF4" s="175" t="s">
        <v>30</v>
      </c>
      <c r="AG4" s="231" t="s">
        <v>15</v>
      </c>
      <c r="AH4" s="232"/>
      <c r="AI4" s="174" t="s">
        <v>30</v>
      </c>
      <c r="AJ4" s="231" t="s">
        <v>16</v>
      </c>
      <c r="AK4" s="232"/>
      <c r="AL4" s="175" t="s">
        <v>30</v>
      </c>
      <c r="AM4" s="231" t="s">
        <v>29</v>
      </c>
      <c r="AN4" s="232"/>
      <c r="AO4" s="237" t="s">
        <v>28</v>
      </c>
    </row>
    <row r="5" spans="2:44" ht="15" customHeight="1">
      <c r="B5" s="1"/>
      <c r="C5" s="13">
        <v>2019</v>
      </c>
      <c r="D5" s="13">
        <v>2020</v>
      </c>
      <c r="E5" s="176" t="s">
        <v>34</v>
      </c>
      <c r="F5" s="13">
        <v>2019</v>
      </c>
      <c r="G5" s="13">
        <v>2020</v>
      </c>
      <c r="H5" s="174" t="s">
        <v>34</v>
      </c>
      <c r="I5" s="13">
        <v>2019</v>
      </c>
      <c r="J5" s="13">
        <v>2020</v>
      </c>
      <c r="K5" s="174" t="s">
        <v>34</v>
      </c>
      <c r="L5" s="13">
        <v>2019</v>
      </c>
      <c r="M5" s="13">
        <v>2020</v>
      </c>
      <c r="N5" s="174" t="s">
        <v>34</v>
      </c>
      <c r="O5" s="13">
        <v>2019</v>
      </c>
      <c r="P5" s="13">
        <v>2020</v>
      </c>
      <c r="Q5" s="176" t="s">
        <v>34</v>
      </c>
      <c r="R5" s="13">
        <v>2019</v>
      </c>
      <c r="S5" s="13">
        <v>2020</v>
      </c>
      <c r="T5" s="176" t="s">
        <v>34</v>
      </c>
      <c r="U5" s="13">
        <v>2019</v>
      </c>
      <c r="V5" s="13">
        <v>2020</v>
      </c>
      <c r="W5" s="176" t="s">
        <v>34</v>
      </c>
      <c r="X5" s="13">
        <v>2019</v>
      </c>
      <c r="Y5" s="13">
        <v>2020</v>
      </c>
      <c r="Z5" s="176" t="s">
        <v>34</v>
      </c>
      <c r="AA5" s="13">
        <v>2019</v>
      </c>
      <c r="AB5" s="13">
        <v>2020</v>
      </c>
      <c r="AC5" s="176" t="s">
        <v>34</v>
      </c>
      <c r="AD5" s="13">
        <v>2019</v>
      </c>
      <c r="AE5" s="13">
        <v>2020</v>
      </c>
      <c r="AF5" s="177" t="s">
        <v>34</v>
      </c>
      <c r="AG5" s="13">
        <v>2019</v>
      </c>
      <c r="AH5" s="13">
        <v>2020</v>
      </c>
      <c r="AI5" s="176" t="s">
        <v>34</v>
      </c>
      <c r="AJ5" s="13">
        <v>2019</v>
      </c>
      <c r="AK5" s="13">
        <v>2020</v>
      </c>
      <c r="AL5" s="176" t="s">
        <v>34</v>
      </c>
      <c r="AM5" s="13">
        <v>2019</v>
      </c>
      <c r="AN5" s="13">
        <v>2020</v>
      </c>
      <c r="AO5" s="238"/>
    </row>
    <row r="6" spans="2:44">
      <c r="B6" s="19" t="s">
        <v>6</v>
      </c>
      <c r="C6" s="6">
        <v>165271</v>
      </c>
      <c r="D6" s="5">
        <v>155867</v>
      </c>
      <c r="E6" s="62">
        <f>(D6-C6)/C6</f>
        <v>-5.6900484658530537E-2</v>
      </c>
      <c r="F6" s="69">
        <v>178494</v>
      </c>
      <c r="G6" s="8">
        <v>163123</v>
      </c>
      <c r="H6" s="62">
        <f>(G6-F6)/F6</f>
        <v>-8.6114939437740207E-2</v>
      </c>
      <c r="I6" s="69">
        <v>194302</v>
      </c>
      <c r="J6" s="8">
        <v>28415</v>
      </c>
      <c r="K6" s="62">
        <f>(J6-I6)/I6</f>
        <v>-0.85375858200121457</v>
      </c>
      <c r="L6" s="69">
        <v>174924</v>
      </c>
      <c r="M6" s="8">
        <v>4295</v>
      </c>
      <c r="N6" s="62">
        <f>(M6-L6)/L6</f>
        <v>-0.97544647961400377</v>
      </c>
      <c r="O6" s="69">
        <v>197881</v>
      </c>
      <c r="P6" s="8">
        <v>99842</v>
      </c>
      <c r="Q6" s="62">
        <f>(P6-O6)/O6</f>
        <v>-0.49544423163416396</v>
      </c>
      <c r="R6" s="69">
        <v>172313</v>
      </c>
      <c r="S6" s="69">
        <v>132690</v>
      </c>
      <c r="T6" s="62">
        <f>(S6-R6)/R6</f>
        <v>-0.22994782749995649</v>
      </c>
      <c r="U6" s="158">
        <v>153335</v>
      </c>
      <c r="V6" s="66">
        <v>136761</v>
      </c>
      <c r="W6" s="62">
        <f>(V6-U6)/U6</f>
        <v>-0.10809012945511462</v>
      </c>
      <c r="X6" s="158">
        <v>89186</v>
      </c>
      <c r="Y6" s="66">
        <v>88969</v>
      </c>
      <c r="Z6" s="62">
        <f>(Y6-X6)/X6</f>
        <v>-2.4331173054066781E-3</v>
      </c>
      <c r="AA6" s="66">
        <v>142532</v>
      </c>
      <c r="AB6" s="66">
        <v>156347</v>
      </c>
      <c r="AC6" s="62">
        <f>(AB6-AA6)/AA6</f>
        <v>9.6925602671680752E-2</v>
      </c>
      <c r="AD6" s="66">
        <v>157262</v>
      </c>
      <c r="AE6" s="66">
        <v>157174</v>
      </c>
      <c r="AF6" s="62">
        <f>(AE6-AD6)/AD6</f>
        <v>-5.5957573984815147E-4</v>
      </c>
      <c r="AG6" s="66">
        <v>151001</v>
      </c>
      <c r="AH6" s="66">
        <v>138559</v>
      </c>
      <c r="AI6" s="62">
        <f>(AH6-AG6)/AG6</f>
        <v>-8.2396805319170069E-2</v>
      </c>
      <c r="AJ6" s="68">
        <v>140448</v>
      </c>
      <c r="AK6" s="66">
        <v>119454</v>
      </c>
      <c r="AL6" s="62">
        <f>(AK6-AJ6)/AJ6</f>
        <v>-0.14947881066302118</v>
      </c>
      <c r="AM6" s="111">
        <f t="shared" ref="AM6:AN10" si="0">C6+F6+I6+L6+O6+R6+U6+X6+AA6+AD6+AG6+AJ6</f>
        <v>1916949</v>
      </c>
      <c r="AN6" s="67">
        <f t="shared" si="0"/>
        <v>1381496</v>
      </c>
      <c r="AO6" s="72">
        <f>(AN6-AM6)/AM6</f>
        <v>-0.27932563672794636</v>
      </c>
    </row>
    <row r="7" spans="2:44">
      <c r="B7" s="75" t="s">
        <v>3</v>
      </c>
      <c r="C7" s="7">
        <v>13529</v>
      </c>
      <c r="D7" s="7">
        <v>13209</v>
      </c>
      <c r="E7" s="62">
        <f>(D7-C7)/C7</f>
        <v>-2.3652893783723851E-2</v>
      </c>
      <c r="F7" s="69">
        <v>15248</v>
      </c>
      <c r="G7" s="69">
        <v>14412</v>
      </c>
      <c r="H7" s="62">
        <f>(G7-F7)/F7</f>
        <v>-5.4826862539349423E-2</v>
      </c>
      <c r="I7" s="69">
        <v>17188</v>
      </c>
      <c r="J7" s="69">
        <v>4932</v>
      </c>
      <c r="K7" s="62">
        <f>(J7-I7)/I7</f>
        <v>-0.71305562020013968</v>
      </c>
      <c r="L7" s="69">
        <v>15399</v>
      </c>
      <c r="M7" s="69">
        <v>1567</v>
      </c>
      <c r="N7" s="62">
        <f>(M7-L7)/L7</f>
        <v>-0.89824014546399111</v>
      </c>
      <c r="O7" s="69">
        <v>17773</v>
      </c>
      <c r="P7" s="69">
        <v>11420</v>
      </c>
      <c r="Q7" s="62">
        <f>(P7-O7)/O7</f>
        <v>-0.35745231530973948</v>
      </c>
      <c r="R7" s="69">
        <v>16896</v>
      </c>
      <c r="S7" s="69">
        <v>15956</v>
      </c>
      <c r="T7" s="62">
        <f>(S7-R7)/R7</f>
        <v>-5.5634469696969696E-2</v>
      </c>
      <c r="U7" s="158">
        <v>15210</v>
      </c>
      <c r="V7" s="66">
        <v>17764</v>
      </c>
      <c r="W7" s="62">
        <f>(V7-U7)/U7</f>
        <v>0.16791584483892177</v>
      </c>
      <c r="X7" s="158">
        <v>9365</v>
      </c>
      <c r="Y7" s="66">
        <v>9649</v>
      </c>
      <c r="Z7" s="62">
        <f>(Y7-X7)/X7</f>
        <v>3.0325680726107848E-2</v>
      </c>
      <c r="AA7" s="66">
        <v>13648</v>
      </c>
      <c r="AB7" s="66">
        <v>16000</v>
      </c>
      <c r="AC7" s="62">
        <f>(AB7-AA7)/AA7</f>
        <v>0.17233294255568582</v>
      </c>
      <c r="AD7" s="66">
        <v>17124</v>
      </c>
      <c r="AE7" s="66">
        <v>18700</v>
      </c>
      <c r="AF7" s="62">
        <f>(AE7-AD7)/AD7</f>
        <v>9.2034571361831352E-2</v>
      </c>
      <c r="AG7" s="66">
        <v>16501</v>
      </c>
      <c r="AH7" s="66">
        <v>18200</v>
      </c>
      <c r="AI7" s="62">
        <f>(AH7-AG7)/AG7</f>
        <v>0.10296345676019635</v>
      </c>
      <c r="AJ7" s="68">
        <v>19983</v>
      </c>
      <c r="AK7" s="66">
        <v>17900</v>
      </c>
      <c r="AL7" s="62">
        <f>(AK7-AJ7)/AJ7</f>
        <v>-0.10423860281239053</v>
      </c>
      <c r="AM7" s="67">
        <f t="shared" si="0"/>
        <v>187864</v>
      </c>
      <c r="AN7" s="67">
        <f t="shared" si="0"/>
        <v>159709</v>
      </c>
      <c r="AO7" s="72">
        <f>(AN7-AM7)/AM7</f>
        <v>-0.14986905420942809</v>
      </c>
    </row>
    <row r="8" spans="2:44">
      <c r="B8" s="75" t="s">
        <v>4</v>
      </c>
      <c r="C8" s="7">
        <v>2301</v>
      </c>
      <c r="D8" s="7">
        <v>2082</v>
      </c>
      <c r="E8" s="62">
        <f>(D8-C8)/C8</f>
        <v>-9.5176010430247718E-2</v>
      </c>
      <c r="F8" s="69">
        <v>1759</v>
      </c>
      <c r="G8" s="69">
        <v>1919</v>
      </c>
      <c r="H8" s="62">
        <f>(G8-F8)/F8</f>
        <v>9.0960773166571918E-2</v>
      </c>
      <c r="I8" s="69">
        <v>2085</v>
      </c>
      <c r="J8" s="69">
        <v>1380</v>
      </c>
      <c r="K8" s="62">
        <f>(J8-I8)/I8</f>
        <v>-0.33812949640287771</v>
      </c>
      <c r="L8" s="69">
        <v>2365</v>
      </c>
      <c r="M8" s="69">
        <v>897</v>
      </c>
      <c r="N8" s="62">
        <f>(M8-L8)/L8</f>
        <v>-0.62071881606765322</v>
      </c>
      <c r="O8" s="69">
        <v>2305</v>
      </c>
      <c r="P8" s="69">
        <v>1342</v>
      </c>
      <c r="Q8" s="62">
        <f>(P8-O8)/O8</f>
        <v>-0.41778741865509761</v>
      </c>
      <c r="R8" s="69">
        <v>3134</v>
      </c>
      <c r="S8" s="69">
        <v>1593</v>
      </c>
      <c r="T8" s="62">
        <f>(S8-R8)/R8</f>
        <v>-0.49170389278876836</v>
      </c>
      <c r="U8" s="158">
        <v>1674</v>
      </c>
      <c r="V8" s="66">
        <v>2219</v>
      </c>
      <c r="W8" s="62">
        <f>(V8-U8)/U8</f>
        <v>0.32556750298685783</v>
      </c>
      <c r="X8" s="158">
        <v>1148</v>
      </c>
      <c r="Y8" s="66">
        <v>1367</v>
      </c>
      <c r="Z8" s="62">
        <f>(Y8-X8)/X8</f>
        <v>0.19076655052264807</v>
      </c>
      <c r="AA8" s="66">
        <v>1185</v>
      </c>
      <c r="AB8" s="66">
        <v>1582</v>
      </c>
      <c r="AC8" s="62">
        <f>(AB8-AA8)/AA8</f>
        <v>0.33502109704641353</v>
      </c>
      <c r="AD8" s="66">
        <v>1887</v>
      </c>
      <c r="AE8" s="66">
        <v>1813</v>
      </c>
      <c r="AF8" s="62">
        <f>(AE8-AD8)/AD8</f>
        <v>-3.9215686274509803E-2</v>
      </c>
      <c r="AG8" s="66">
        <v>1780</v>
      </c>
      <c r="AH8" s="66">
        <v>2161</v>
      </c>
      <c r="AI8" s="62">
        <f>(AH8-AG8)/AG8</f>
        <v>0.21404494382022471</v>
      </c>
      <c r="AJ8" s="68">
        <v>1983</v>
      </c>
      <c r="AK8" s="66">
        <v>1948</v>
      </c>
      <c r="AL8" s="62">
        <f>(AK8-AJ8)/AJ8</f>
        <v>-1.7650025214321734E-2</v>
      </c>
      <c r="AM8" s="67">
        <f t="shared" si="0"/>
        <v>23606</v>
      </c>
      <c r="AN8" s="67">
        <f t="shared" si="0"/>
        <v>20303</v>
      </c>
      <c r="AO8" s="72">
        <f>(AN8-AM8)/AM8</f>
        <v>-0.13992205371515717</v>
      </c>
    </row>
    <row r="9" spans="2:44">
      <c r="B9" s="75" t="s">
        <v>5</v>
      </c>
      <c r="C9" s="7">
        <v>394</v>
      </c>
      <c r="D9" s="7">
        <v>451</v>
      </c>
      <c r="E9" s="62">
        <f>(D9-C9)/C9</f>
        <v>0.14467005076142131</v>
      </c>
      <c r="F9" s="69">
        <v>303</v>
      </c>
      <c r="G9" s="69">
        <v>370</v>
      </c>
      <c r="H9" s="62">
        <f>(G9-F9)/F9</f>
        <v>0.22112211221122113</v>
      </c>
      <c r="I9" s="69">
        <v>356</v>
      </c>
      <c r="J9" s="69">
        <v>315</v>
      </c>
      <c r="K9" s="62">
        <f>(J9-I9)/I9</f>
        <v>-0.1151685393258427</v>
      </c>
      <c r="L9" s="69">
        <v>231</v>
      </c>
      <c r="M9" s="69">
        <v>152</v>
      </c>
      <c r="N9" s="62">
        <f>(M9-L9)/L9</f>
        <v>-0.34199134199134201</v>
      </c>
      <c r="O9" s="69">
        <v>341</v>
      </c>
      <c r="P9" s="69">
        <v>101</v>
      </c>
      <c r="Q9" s="62">
        <f>(P9-O9)/O9</f>
        <v>-0.70381231671554256</v>
      </c>
      <c r="R9" s="69">
        <v>363</v>
      </c>
      <c r="S9" s="69">
        <v>168</v>
      </c>
      <c r="T9" s="62">
        <f>(S9-R9)/R9</f>
        <v>-0.53719008264462809</v>
      </c>
      <c r="U9" s="158">
        <v>312</v>
      </c>
      <c r="V9" s="66">
        <v>251</v>
      </c>
      <c r="W9" s="62">
        <f>(V9-U9)/U9</f>
        <v>-0.19551282051282051</v>
      </c>
      <c r="X9" s="158">
        <v>517</v>
      </c>
      <c r="Y9" s="66">
        <v>184</v>
      </c>
      <c r="Z9" s="62">
        <f>(Y9-X9)/X9</f>
        <v>-0.64410058027079309</v>
      </c>
      <c r="AA9" s="81">
        <v>465</v>
      </c>
      <c r="AB9" s="66">
        <v>230</v>
      </c>
      <c r="AC9" s="62">
        <f>(AB9-AA9)/AA9</f>
        <v>-0.5053763440860215</v>
      </c>
      <c r="AD9" s="81">
        <v>443</v>
      </c>
      <c r="AE9" s="66">
        <v>359</v>
      </c>
      <c r="AF9" s="62">
        <f>(AE9-AD9)/AD9</f>
        <v>-0.18961625282167044</v>
      </c>
      <c r="AG9" s="66">
        <v>233</v>
      </c>
      <c r="AH9" s="66">
        <v>294</v>
      </c>
      <c r="AI9" s="62">
        <f>(AH9-AG9)/AG9</f>
        <v>0.26180257510729615</v>
      </c>
      <c r="AJ9" s="68">
        <v>253</v>
      </c>
      <c r="AK9" s="66">
        <v>287</v>
      </c>
      <c r="AL9" s="62">
        <f>(AK9-AJ9)/AJ9</f>
        <v>0.13438735177865613</v>
      </c>
      <c r="AM9" s="111">
        <f t="shared" si="0"/>
        <v>4211</v>
      </c>
      <c r="AN9" s="67">
        <f t="shared" si="0"/>
        <v>3162</v>
      </c>
      <c r="AO9" s="72">
        <f>(AN9-AM9)/AM9</f>
        <v>-0.24910947518404181</v>
      </c>
    </row>
    <row r="10" spans="2:44" s="70" customFormat="1">
      <c r="B10" s="76" t="s">
        <v>7</v>
      </c>
      <c r="C10" s="67">
        <f>SUM(C6:C9)</f>
        <v>181495</v>
      </c>
      <c r="D10" s="67">
        <f>SUM(D6:D9)</f>
        <v>171609</v>
      </c>
      <c r="E10" s="63">
        <f>(D10-C10)/C10</f>
        <v>-5.4469820105237057E-2</v>
      </c>
      <c r="F10" s="67">
        <f>SUM(F6:F9)</f>
        <v>195804</v>
      </c>
      <c r="G10" s="67">
        <f>SUM(G6:G9)</f>
        <v>179824</v>
      </c>
      <c r="H10" s="63">
        <f>(G10-F10)/F10</f>
        <v>-8.161222446936732E-2</v>
      </c>
      <c r="I10" s="67">
        <f>SUM(I6:I9)</f>
        <v>213931</v>
      </c>
      <c r="J10" s="67">
        <f>SUM(J6:J9)</f>
        <v>35042</v>
      </c>
      <c r="K10" s="63">
        <f>(J10-I10)/I10</f>
        <v>-0.83619952227587402</v>
      </c>
      <c r="L10" s="67">
        <f>SUM(L6:L9)</f>
        <v>192919</v>
      </c>
      <c r="M10" s="67">
        <f>SUM(M6:M9)</f>
        <v>6911</v>
      </c>
      <c r="N10" s="63">
        <f>(M10-L10)/L10</f>
        <v>-0.96417667518492212</v>
      </c>
      <c r="O10" s="67">
        <f>SUM(O6:O9)</f>
        <v>218300</v>
      </c>
      <c r="P10" s="67">
        <f>SUM(P6:P9)</f>
        <v>112705</v>
      </c>
      <c r="Q10" s="63">
        <f>(P10-O10)/O10</f>
        <v>-0.4837150710032066</v>
      </c>
      <c r="R10" s="67">
        <f t="shared" ref="R10:AK10" si="1">SUM(R6:R9)</f>
        <v>192706</v>
      </c>
      <c r="S10" s="67">
        <f t="shared" si="1"/>
        <v>150407</v>
      </c>
      <c r="T10" s="63">
        <f>(S10-R10)/R10</f>
        <v>-0.21950017124531671</v>
      </c>
      <c r="U10" s="67">
        <f t="shared" si="1"/>
        <v>170531</v>
      </c>
      <c r="V10" s="67">
        <f t="shared" si="1"/>
        <v>156995</v>
      </c>
      <c r="W10" s="63">
        <f>(V10-U10)/U10</f>
        <v>-7.9375597398713429E-2</v>
      </c>
      <c r="X10" s="67">
        <f t="shared" si="1"/>
        <v>100216</v>
      </c>
      <c r="Y10" s="67">
        <f t="shared" si="1"/>
        <v>100169</v>
      </c>
      <c r="Z10" s="63">
        <f>(Y10-X10)/X10</f>
        <v>-4.6898698810569168E-4</v>
      </c>
      <c r="AA10" s="67">
        <f t="shared" si="1"/>
        <v>157830</v>
      </c>
      <c r="AB10" s="67">
        <f t="shared" si="1"/>
        <v>174159</v>
      </c>
      <c r="AC10" s="63">
        <f>(AB10-AA10)/AA10</f>
        <v>0.10345941836152822</v>
      </c>
      <c r="AD10" s="67">
        <f t="shared" si="1"/>
        <v>176716</v>
      </c>
      <c r="AE10" s="67">
        <f t="shared" si="1"/>
        <v>178046</v>
      </c>
      <c r="AF10" s="63">
        <f>(AE10-AD10)/AD10</f>
        <v>7.5262002308789247E-3</v>
      </c>
      <c r="AG10" s="187">
        <f t="shared" si="1"/>
        <v>169515</v>
      </c>
      <c r="AH10" s="187">
        <f t="shared" si="1"/>
        <v>159214</v>
      </c>
      <c r="AI10" s="63">
        <f>(AH10-AG10)/AG10</f>
        <v>-6.0767483703507062E-2</v>
      </c>
      <c r="AJ10" s="187">
        <f t="shared" si="1"/>
        <v>162667</v>
      </c>
      <c r="AK10" s="187">
        <f t="shared" si="1"/>
        <v>139589</v>
      </c>
      <c r="AL10" s="63">
        <f>(AK10-AJ10)/AJ10</f>
        <v>-0.141872660097008</v>
      </c>
      <c r="AM10" s="67">
        <f t="shared" si="0"/>
        <v>2132630</v>
      </c>
      <c r="AN10" s="67">
        <f t="shared" si="0"/>
        <v>1564670</v>
      </c>
      <c r="AO10" s="73">
        <f>(AN10-AM10)/AM10</f>
        <v>-0.26631905206247686</v>
      </c>
      <c r="AQ10" s="64"/>
      <c r="AR10" s="79"/>
    </row>
    <row r="12" spans="2:44">
      <c r="B12" s="64" t="s">
        <v>24</v>
      </c>
    </row>
    <row r="14" spans="2:44">
      <c r="C14" s="80"/>
      <c r="D14" s="80"/>
      <c r="E14" s="80"/>
      <c r="F14" s="80"/>
      <c r="G14" s="80"/>
      <c r="I14" s="178"/>
      <c r="J14" s="178"/>
      <c r="L14" s="178"/>
      <c r="M14" s="178"/>
      <c r="O14" s="178"/>
      <c r="P14" s="178"/>
      <c r="R14" s="178"/>
      <c r="S14" s="178"/>
      <c r="U14" s="178"/>
      <c r="V14" s="178"/>
      <c r="X14" s="178"/>
      <c r="Y14" s="178"/>
      <c r="AA14" s="178"/>
      <c r="AB14" s="199"/>
      <c r="AC14" s="199"/>
      <c r="AD14" s="199"/>
      <c r="AE14" s="178"/>
      <c r="AM14" s="184"/>
    </row>
    <row r="15" spans="2:44">
      <c r="C15" s="81"/>
      <c r="D15" s="81"/>
      <c r="F15" s="81"/>
      <c r="G15" s="81"/>
      <c r="I15" s="81"/>
      <c r="J15" s="81"/>
      <c r="L15" s="81"/>
      <c r="M15" s="81"/>
      <c r="O15" s="81"/>
      <c r="P15" s="81"/>
      <c r="R15" s="81"/>
      <c r="S15" s="81"/>
      <c r="U15" s="81"/>
      <c r="V15" s="81"/>
      <c r="X15" s="81"/>
      <c r="Y15" s="81"/>
      <c r="AA15" s="81"/>
      <c r="AB15" s="81"/>
      <c r="AD15" s="81"/>
      <c r="AE15" s="81"/>
      <c r="AG15" s="81"/>
      <c r="AH15" s="81"/>
    </row>
    <row r="16" spans="2:44">
      <c r="C16" s="81"/>
      <c r="D16" s="81"/>
      <c r="E16" s="81"/>
      <c r="F16" s="81"/>
      <c r="G16" s="81"/>
      <c r="I16" s="81"/>
      <c r="J16" s="81"/>
      <c r="L16" s="81"/>
      <c r="M16" s="81"/>
      <c r="O16" s="81"/>
      <c r="P16" s="81"/>
      <c r="R16" s="81"/>
      <c r="S16" s="81"/>
      <c r="U16" s="81"/>
      <c r="V16" s="81"/>
      <c r="X16" s="81"/>
      <c r="Y16" s="81"/>
      <c r="AA16" s="81"/>
      <c r="AB16" s="81"/>
      <c r="AD16" s="81"/>
      <c r="AE16" s="81"/>
      <c r="AG16" s="81"/>
      <c r="AH16" s="81"/>
    </row>
    <row r="17" spans="3:34">
      <c r="C17" s="81"/>
      <c r="D17" s="81"/>
      <c r="E17" s="81"/>
      <c r="F17" s="81"/>
      <c r="G17" s="81"/>
      <c r="I17" s="81"/>
      <c r="J17" s="81"/>
      <c r="M17" s="81"/>
      <c r="O17" s="81"/>
      <c r="P17" s="81"/>
      <c r="R17" s="81"/>
      <c r="S17" s="81"/>
      <c r="U17" s="81"/>
      <c r="V17" s="81"/>
      <c r="X17" s="81"/>
      <c r="Y17" s="81"/>
      <c r="AA17" s="81"/>
      <c r="AB17" s="81"/>
      <c r="AD17" s="81"/>
      <c r="AE17" s="81"/>
      <c r="AG17" s="81"/>
      <c r="AH17" s="81"/>
    </row>
    <row r="18" spans="3:34">
      <c r="C18" s="81"/>
      <c r="D18" s="81"/>
      <c r="E18" s="81"/>
      <c r="F18" s="81"/>
      <c r="G18" s="81"/>
      <c r="AG18" s="81"/>
      <c r="AH18" s="81"/>
    </row>
    <row r="19" spans="3:34">
      <c r="C19" s="81"/>
      <c r="D19" s="81"/>
      <c r="E19" s="81"/>
      <c r="F19" s="81"/>
      <c r="G19" s="81"/>
      <c r="I19" s="81"/>
      <c r="J19" s="81"/>
      <c r="L19" s="81"/>
      <c r="M19" s="81"/>
      <c r="O19" s="81"/>
      <c r="P19" s="81"/>
      <c r="R19" s="81"/>
      <c r="S19" s="81"/>
      <c r="U19" s="81"/>
      <c r="V19" s="81"/>
      <c r="X19" s="81"/>
      <c r="Y19" s="81"/>
      <c r="AA19" s="81"/>
      <c r="AB19" s="81"/>
      <c r="AD19" s="81"/>
      <c r="AE19" s="81"/>
      <c r="AG19" s="81"/>
      <c r="AH19" s="81"/>
    </row>
    <row r="20" spans="3:34">
      <c r="C20" s="81"/>
      <c r="D20" s="81"/>
      <c r="E20" s="81"/>
      <c r="F20" s="81"/>
      <c r="G20" s="81"/>
    </row>
    <row r="21" spans="3:34">
      <c r="C21" s="81"/>
      <c r="D21" s="81"/>
      <c r="E21" s="81"/>
      <c r="F21" s="81"/>
      <c r="G21" s="81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pageMargins left="0.7" right="0.7" top="0.78740157499999996" bottom="0.78740157499999996" header="0.3" footer="0.3"/>
  <pageSetup paperSize="9" orientation="portrait" r:id="rId1"/>
  <ignoredErrors>
    <ignoredError sqref="C10:D10 F10:G10 I10:J10 S10 U10:V10 AG10:AH10 AJ10:AK10" formulaRange="1"/>
    <ignoredError sqref="E10 H10 K10:L10 M10 O10:P10 R10 T10 W10:Y10 AA10:AE10" formula="1" formulaRange="1"/>
    <ignoredError sqref="N10 Q10 Z10 AF10 AI10" formula="1"/>
    <ignoredError sqref="AL7:AL9" evalErro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6A2E7-84CD-436F-B477-D07272E53A2F}">
  <dimension ref="A1:AR17"/>
  <sheetViews>
    <sheetView topLeftCell="B1" zoomScaleNormal="100" workbookViewId="0">
      <pane xSplit="1" topLeftCell="AE1" activePane="topRight" state="frozen"/>
      <selection activeCell="B1" sqref="B1"/>
      <selection pane="topRight" activeCell="AM15" sqref="AM15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3" width="7.5703125" style="25" bestFit="1" customWidth="1"/>
    <col min="4" max="4" width="10" style="25" customWidth="1"/>
    <col min="5" max="5" width="11.5703125" style="25" customWidth="1"/>
    <col min="6" max="6" width="7.5703125" style="25" bestFit="1" customWidth="1"/>
    <col min="7" max="7" width="11.7109375" style="25" customWidth="1"/>
    <col min="8" max="8" width="10.85546875" style="25" customWidth="1"/>
    <col min="9" max="9" width="9.7109375" style="25" customWidth="1"/>
    <col min="10" max="10" width="9.42578125" style="25" customWidth="1"/>
    <col min="11" max="12" width="10" style="25" customWidth="1"/>
    <col min="13" max="13" width="9.7109375" style="25" customWidth="1"/>
    <col min="14" max="14" width="11.140625" style="25" customWidth="1"/>
    <col min="15" max="15" width="8.85546875" style="25" customWidth="1"/>
    <col min="16" max="16" width="10.42578125" style="25" customWidth="1"/>
    <col min="17" max="17" width="9.85546875" style="25" bestFit="1" customWidth="1"/>
    <col min="18" max="18" width="9.42578125" style="25" customWidth="1"/>
    <col min="19" max="19" width="10.140625" style="25" customWidth="1"/>
    <col min="20" max="21" width="11.42578125" style="25"/>
    <col min="22" max="22" width="10.5703125" style="25" customWidth="1"/>
    <col min="23" max="16384" width="11.42578125" style="25"/>
  </cols>
  <sheetData>
    <row r="1" spans="2:44">
      <c r="B1" s="10" t="s">
        <v>87</v>
      </c>
    </row>
    <row r="2" spans="2:44">
      <c r="S2" s="27"/>
    </row>
    <row r="4" spans="2:44" ht="45" customHeight="1">
      <c r="B4" s="18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5" t="s">
        <v>29</v>
      </c>
      <c r="AN4" s="236"/>
      <c r="AO4" s="237" t="s">
        <v>28</v>
      </c>
    </row>
    <row r="5" spans="2:44" ht="15" customHeight="1">
      <c r="B5" s="1"/>
      <c r="C5" s="13">
        <v>2019</v>
      </c>
      <c r="D5" s="13">
        <v>2020</v>
      </c>
      <c r="E5" s="17" t="s">
        <v>34</v>
      </c>
      <c r="F5" s="13">
        <v>2019</v>
      </c>
      <c r="G5" s="13">
        <v>2020</v>
      </c>
      <c r="H5" s="28" t="s">
        <v>34</v>
      </c>
      <c r="I5" s="13">
        <v>2019</v>
      </c>
      <c r="J5" s="13">
        <v>2020</v>
      </c>
      <c r="K5" s="28" t="s">
        <v>34</v>
      </c>
      <c r="L5" s="13">
        <v>2019</v>
      </c>
      <c r="M5" s="13">
        <v>2020</v>
      </c>
      <c r="N5" s="28" t="s">
        <v>34</v>
      </c>
      <c r="O5" s="13">
        <v>2019</v>
      </c>
      <c r="P5" s="13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3">
        <v>2019</v>
      </c>
      <c r="AN5" s="13">
        <v>2020</v>
      </c>
      <c r="AO5" s="238"/>
    </row>
    <row r="6" spans="2:44">
      <c r="B6" s="19" t="s">
        <v>6</v>
      </c>
      <c r="C6" s="2">
        <v>342477</v>
      </c>
      <c r="D6" s="2">
        <v>301195</v>
      </c>
      <c r="E6" s="62">
        <f>(D6-C6)/C6</f>
        <v>-0.12053948148342808</v>
      </c>
      <c r="F6" s="2">
        <v>401376</v>
      </c>
      <c r="G6" s="2">
        <v>362052</v>
      </c>
      <c r="H6" s="62">
        <f>(G6-F6)/F6</f>
        <v>-9.7972972972972971E-2</v>
      </c>
      <c r="I6" s="60">
        <v>532506</v>
      </c>
      <c r="J6" s="60">
        <v>485207</v>
      </c>
      <c r="K6" s="62">
        <f>(J6-I6)/I6</f>
        <v>-8.8823412318358858E-2</v>
      </c>
      <c r="L6" s="2">
        <v>314950</v>
      </c>
      <c r="M6" s="2">
        <v>219231</v>
      </c>
      <c r="N6" s="62">
        <f>(M6-L6)/L6</f>
        <v>-0.30391808223527544</v>
      </c>
      <c r="O6" s="2">
        <v>327418</v>
      </c>
      <c r="P6" s="2">
        <v>174404</v>
      </c>
      <c r="Q6" s="62">
        <f>(P6-O6)/O6</f>
        <v>-0.46733533281615547</v>
      </c>
      <c r="R6" s="2">
        <v>366975</v>
      </c>
      <c r="S6" s="66">
        <v>283893</v>
      </c>
      <c r="T6" s="62">
        <f>(S6-R6)/R6</f>
        <v>-0.22639689352135703</v>
      </c>
      <c r="U6" s="2">
        <v>379422</v>
      </c>
      <c r="V6" s="66">
        <v>330771</v>
      </c>
      <c r="W6" s="62">
        <f>(V6-U6)/U6</f>
        <v>-0.12822398279488273</v>
      </c>
      <c r="X6" s="2">
        <v>317179</v>
      </c>
      <c r="Y6" s="66">
        <v>270346</v>
      </c>
      <c r="Z6" s="62">
        <f>(Y6-X6)/X6</f>
        <v>-0.14765479429596537</v>
      </c>
      <c r="AA6" s="2">
        <v>458856</v>
      </c>
      <c r="AB6" s="66">
        <v>390847</v>
      </c>
      <c r="AC6" s="62">
        <f>(AB6-AA6)/AA6</f>
        <v>-0.14821425458095785</v>
      </c>
      <c r="AD6" s="2">
        <v>259919</v>
      </c>
      <c r="AE6" s="66">
        <v>339923</v>
      </c>
      <c r="AF6" s="62">
        <f>(AE6-AD6)/AD6</f>
        <v>0.30780358496300769</v>
      </c>
      <c r="AG6" s="2">
        <v>315735</v>
      </c>
      <c r="AH6" s="66">
        <v>336908</v>
      </c>
      <c r="AI6" s="62">
        <f>(AH6-AG6)/AG6</f>
        <v>6.7059401080019634E-2</v>
      </c>
      <c r="AJ6" s="4">
        <v>284278</v>
      </c>
      <c r="AK6" s="66">
        <v>315200</v>
      </c>
      <c r="AL6" s="62">
        <f>(AK6-AJ6)/AJ6</f>
        <v>0.10877380592237176</v>
      </c>
      <c r="AM6" s="3">
        <f t="shared" ref="AM6:AN10" si="0">C6+F6+I6+L6+O6+R6+U6+X6+AA6+AD6+AG6+AJ6</f>
        <v>4301091</v>
      </c>
      <c r="AN6" s="3">
        <f t="shared" si="0"/>
        <v>3809977</v>
      </c>
      <c r="AO6" s="14">
        <f>(AN6-AM6)/AM6</f>
        <v>-0.11418358737352918</v>
      </c>
    </row>
    <row r="7" spans="2:44">
      <c r="B7" s="19" t="s">
        <v>3</v>
      </c>
      <c r="C7" s="2">
        <v>52826</v>
      </c>
      <c r="D7" s="60">
        <f>17068+30265</f>
        <v>47333</v>
      </c>
      <c r="E7" s="62">
        <f>(D7-C7)/C7</f>
        <v>-0.10398288721462916</v>
      </c>
      <c r="F7" s="2">
        <v>61896</v>
      </c>
      <c r="G7" s="2">
        <f>20286+32986</f>
        <v>53272</v>
      </c>
      <c r="H7" s="62">
        <f>(G7-F7)/F7</f>
        <v>-0.13933048985394855</v>
      </c>
      <c r="I7" s="2">
        <v>81851</v>
      </c>
      <c r="J7" s="2">
        <f>28933+43141</f>
        <v>72074</v>
      </c>
      <c r="K7" s="62">
        <f>(J7-I7)/I7</f>
        <v>-0.11944875444405077</v>
      </c>
      <c r="L7" s="2">
        <v>50875</v>
      </c>
      <c r="M7" s="27">
        <f>16253+23698</f>
        <v>39951</v>
      </c>
      <c r="N7" s="62">
        <f>(M7-L7)/L7</f>
        <v>-0.21472235872235873</v>
      </c>
      <c r="O7" s="2">
        <v>54689</v>
      </c>
      <c r="P7" s="2">
        <f>14242+19684</f>
        <v>33926</v>
      </c>
      <c r="Q7" s="62">
        <f>(P7-O7)/O7</f>
        <v>-0.37965587229607417</v>
      </c>
      <c r="R7" s="2">
        <f>24058+41254</f>
        <v>65312</v>
      </c>
      <c r="S7" s="66">
        <f>19314+30750</f>
        <v>50064</v>
      </c>
      <c r="T7" s="62">
        <f>(S7-R7)/R7</f>
        <v>-0.2334639882410583</v>
      </c>
      <c r="U7" s="2">
        <v>61878</v>
      </c>
      <c r="V7" s="66">
        <v>52698</v>
      </c>
      <c r="W7" s="62">
        <f>(V7-U7)/U7</f>
        <v>-0.14835644332396006</v>
      </c>
      <c r="X7" s="2">
        <v>51463</v>
      </c>
      <c r="Y7" s="66">
        <v>43598</v>
      </c>
      <c r="Z7" s="62">
        <f>(Y7-X7)/X7</f>
        <v>-0.15282824553562754</v>
      </c>
      <c r="AA7" s="2">
        <v>69827</v>
      </c>
      <c r="AB7" s="11">
        <v>61014</v>
      </c>
      <c r="AC7" s="62">
        <f>(AB7-AA7)/AA7</f>
        <v>-0.12621192375442164</v>
      </c>
      <c r="AD7" s="2">
        <v>44771</v>
      </c>
      <c r="AE7" s="66">
        <v>54495</v>
      </c>
      <c r="AF7" s="62">
        <f>(AE7-AD7)/AD7</f>
        <v>0.21719416586629739</v>
      </c>
      <c r="AG7" s="2">
        <v>56740</v>
      </c>
      <c r="AH7" s="66">
        <v>60834</v>
      </c>
      <c r="AI7" s="62">
        <f>(AH7-AG7)/AG7</f>
        <v>7.2153683468452592E-2</v>
      </c>
      <c r="AJ7" s="4">
        <v>46020</v>
      </c>
      <c r="AK7" s="66">
        <v>49363</v>
      </c>
      <c r="AL7" s="62">
        <f>(AK7-AJ7)/AJ7</f>
        <v>7.2642329421990434E-2</v>
      </c>
      <c r="AM7" s="3">
        <f t="shared" si="0"/>
        <v>698148</v>
      </c>
      <c r="AN7" s="3">
        <f t="shared" si="0"/>
        <v>618622</v>
      </c>
      <c r="AO7" s="14">
        <f>(AN7-AM7)/AM7</f>
        <v>-0.11390994459627471</v>
      </c>
    </row>
    <row r="8" spans="2:44">
      <c r="B8" s="19" t="s">
        <v>4</v>
      </c>
      <c r="C8" s="2">
        <v>11819</v>
      </c>
      <c r="D8" s="2">
        <v>10813</v>
      </c>
      <c r="E8" s="62">
        <f>(D8-C8)/C8</f>
        <v>-8.5117184194940354E-2</v>
      </c>
      <c r="F8" s="2">
        <v>14992</v>
      </c>
      <c r="G8" s="2">
        <v>13677</v>
      </c>
      <c r="H8" s="62">
        <f>(G8-F8)/F8</f>
        <v>-8.7713447171824971E-2</v>
      </c>
      <c r="I8" s="2">
        <v>23989</v>
      </c>
      <c r="J8" s="2">
        <v>21993</v>
      </c>
      <c r="K8" s="62">
        <f>(J8-I8)/I8</f>
        <v>-8.3204802201008801E-2</v>
      </c>
      <c r="L8" s="2">
        <v>11876</v>
      </c>
      <c r="M8" s="2">
        <v>10438</v>
      </c>
      <c r="N8" s="62">
        <f>(M8-L8)/L8</f>
        <v>-0.12108454024924217</v>
      </c>
      <c r="O8" s="2">
        <v>13176</v>
      </c>
      <c r="P8" s="2">
        <v>9544</v>
      </c>
      <c r="Q8" s="62">
        <f>(P8-O8)/O8</f>
        <v>-0.27565270188221008</v>
      </c>
      <c r="R8" s="2">
        <v>17052</v>
      </c>
      <c r="S8" s="66">
        <v>12864</v>
      </c>
      <c r="T8" s="62">
        <f>(S8-R8)/R8</f>
        <v>-0.24560168895144266</v>
      </c>
      <c r="U8" s="2">
        <v>17019</v>
      </c>
      <c r="V8" s="66">
        <v>12171</v>
      </c>
      <c r="W8" s="62">
        <f>(V8-U8)/U8</f>
        <v>-0.28485809977084436</v>
      </c>
      <c r="X8" s="2">
        <v>18670</v>
      </c>
      <c r="Y8" s="66">
        <v>11940</v>
      </c>
      <c r="Z8" s="62">
        <f>(Y8-X8)/X8</f>
        <v>-0.36047134440278522</v>
      </c>
      <c r="AA8" s="2">
        <v>18280</v>
      </c>
      <c r="AB8" s="66">
        <v>17177</v>
      </c>
      <c r="AC8" s="62">
        <f>(AB8-AA8)/AA8</f>
        <v>-6.0339168490153174E-2</v>
      </c>
      <c r="AD8" s="2">
        <v>9327</v>
      </c>
      <c r="AE8" s="66">
        <v>11977</v>
      </c>
      <c r="AF8" s="62">
        <f>(AE8-AD8)/AD8</f>
        <v>0.28412136807119115</v>
      </c>
      <c r="AG8" s="2">
        <v>12597</v>
      </c>
      <c r="AH8" s="66">
        <v>13366</v>
      </c>
      <c r="AI8" s="62">
        <f>(AH8-AG8)/AG8</f>
        <v>6.1046280860522349E-2</v>
      </c>
      <c r="AJ8" s="4">
        <v>13594</v>
      </c>
      <c r="AK8" s="66">
        <v>14718</v>
      </c>
      <c r="AL8" s="62">
        <f>(AK8-AJ8)/AJ8</f>
        <v>8.268353685449463E-2</v>
      </c>
      <c r="AM8" s="3">
        <f t="shared" si="0"/>
        <v>182391</v>
      </c>
      <c r="AN8" s="3">
        <f t="shared" si="0"/>
        <v>160678</v>
      </c>
      <c r="AO8" s="14">
        <f>(AN8-AM8)/AM8</f>
        <v>-0.11904644417761841</v>
      </c>
    </row>
    <row r="9" spans="2:44">
      <c r="B9" s="20" t="s">
        <v>5</v>
      </c>
      <c r="C9" s="27">
        <v>853</v>
      </c>
      <c r="D9" s="2">
        <v>762</v>
      </c>
      <c r="E9" s="62">
        <f>(D9-C9)/C9</f>
        <v>-0.10668229777256741</v>
      </c>
      <c r="F9" s="2">
        <v>1163</v>
      </c>
      <c r="G9" s="2">
        <v>1184</v>
      </c>
      <c r="H9" s="62">
        <f>(G9-F9)/F9</f>
        <v>1.8056749785038694E-2</v>
      </c>
      <c r="I9" s="2">
        <v>2467</v>
      </c>
      <c r="J9" s="2">
        <v>2164</v>
      </c>
      <c r="K9" s="62">
        <f>(J9-I9)/I9</f>
        <v>-0.12282124037292258</v>
      </c>
      <c r="L9" s="2">
        <v>986</v>
      </c>
      <c r="M9" s="2">
        <v>773</v>
      </c>
      <c r="N9" s="62">
        <f>(M9-L9)/L9</f>
        <v>-0.21602434077079108</v>
      </c>
      <c r="O9" s="2">
        <v>837</v>
      </c>
      <c r="P9" s="2">
        <v>411</v>
      </c>
      <c r="Q9" s="62">
        <f>(P9-O9)/O9</f>
        <v>-0.50896057347670254</v>
      </c>
      <c r="R9" s="1">
        <v>1059</v>
      </c>
      <c r="S9" s="11">
        <v>551</v>
      </c>
      <c r="T9" s="62">
        <f>(S9-R9)/R9</f>
        <v>-0.47969782813975448</v>
      </c>
      <c r="U9" s="2">
        <v>1137</v>
      </c>
      <c r="V9" s="66">
        <v>706</v>
      </c>
      <c r="W9" s="62">
        <f>(V9-U9)/U9</f>
        <v>-0.37906772207563766</v>
      </c>
      <c r="X9" s="2">
        <v>1288</v>
      </c>
      <c r="Y9" s="11">
        <v>552</v>
      </c>
      <c r="Z9" s="62">
        <f>(Y9-X9)/X9</f>
        <v>-0.5714285714285714</v>
      </c>
      <c r="AA9" s="27">
        <v>1246</v>
      </c>
      <c r="AB9" s="11">
        <v>667</v>
      </c>
      <c r="AC9" s="62">
        <f>(AB9-AA9)/AA9</f>
        <v>-0.46468699839486355</v>
      </c>
      <c r="AD9" s="27">
        <v>781</v>
      </c>
      <c r="AE9" s="66">
        <v>456</v>
      </c>
      <c r="AF9" s="62">
        <f>(AE9-AD9)/AD9</f>
        <v>-0.41613316261203587</v>
      </c>
      <c r="AG9" s="27">
        <v>786</v>
      </c>
      <c r="AH9" s="66">
        <v>493</v>
      </c>
      <c r="AI9" s="62">
        <f>(AH9-AG9)/AG9</f>
        <v>-0.37277353689567427</v>
      </c>
      <c r="AJ9" s="4">
        <v>983</v>
      </c>
      <c r="AK9" s="66">
        <v>615</v>
      </c>
      <c r="AL9" s="62">
        <f>(AK9-AJ9)/AJ9</f>
        <v>-0.37436419125127163</v>
      </c>
      <c r="AM9" s="3">
        <f t="shared" si="0"/>
        <v>13586</v>
      </c>
      <c r="AN9" s="3">
        <f t="shared" si="0"/>
        <v>9334</v>
      </c>
      <c r="AO9" s="14">
        <f>(AN9-AM9)/AM9</f>
        <v>-0.31296923303400559</v>
      </c>
    </row>
    <row r="10" spans="2:44" s="10" customFormat="1">
      <c r="B10" s="22" t="s">
        <v>7</v>
      </c>
      <c r="C10" s="3">
        <f>SUM(C6:C9)</f>
        <v>407975</v>
      </c>
      <c r="D10" s="3">
        <f>SUM(D6:D9)</f>
        <v>360103</v>
      </c>
      <c r="E10" s="63">
        <f>(D10-C10)/C10</f>
        <v>-0.11734052331637967</v>
      </c>
      <c r="F10" s="3">
        <f>SUM(F6:F9)</f>
        <v>479427</v>
      </c>
      <c r="G10" s="3">
        <f>SUM(G6:G9)</f>
        <v>430185</v>
      </c>
      <c r="H10" s="63">
        <f>(G10-F10)/F10</f>
        <v>-0.10271011019404414</v>
      </c>
      <c r="I10" s="100">
        <f>SUM(I6:I9)</f>
        <v>640813</v>
      </c>
      <c r="J10" s="3">
        <f>SUM(J6:J9)</f>
        <v>581438</v>
      </c>
      <c r="K10" s="63">
        <f>(J10-I10)/I10</f>
        <v>-9.2655735760666533E-2</v>
      </c>
      <c r="L10" s="23">
        <f>SUM(L6:L9)</f>
        <v>378687</v>
      </c>
      <c r="M10" s="3">
        <f>SUM(M6:M9)</f>
        <v>270393</v>
      </c>
      <c r="N10" s="63">
        <f>(M10-L10)/L10</f>
        <v>-0.28597232014830187</v>
      </c>
      <c r="O10" s="23">
        <f>SUM(O6:O9)</f>
        <v>396120</v>
      </c>
      <c r="P10" s="3">
        <f>SUM(P6:P9)</f>
        <v>218285</v>
      </c>
      <c r="Q10" s="63">
        <f>(P10-O10)/O10</f>
        <v>-0.44894223972533576</v>
      </c>
      <c r="R10" s="3">
        <f>SUM(R6:R9)</f>
        <v>450398</v>
      </c>
      <c r="S10" s="3">
        <f>SUM(S6:S9)</f>
        <v>347372</v>
      </c>
      <c r="T10" s="63">
        <f>(S10-R10)/R10</f>
        <v>-0.22874435499269535</v>
      </c>
      <c r="U10" s="3">
        <f t="shared" ref="U10:AK10" si="1">SUM(U6:U9)</f>
        <v>459456</v>
      </c>
      <c r="V10" s="3">
        <f t="shared" si="1"/>
        <v>396346</v>
      </c>
      <c r="W10" s="63">
        <f>(V10-U10)/U10</f>
        <v>-0.13735809304917118</v>
      </c>
      <c r="X10" s="3">
        <f t="shared" si="1"/>
        <v>388600</v>
      </c>
      <c r="Y10" s="3">
        <f t="shared" si="1"/>
        <v>326436</v>
      </c>
      <c r="Z10" s="63">
        <f>(Y10-X10)/X10</f>
        <v>-0.15996911991765311</v>
      </c>
      <c r="AA10" s="3">
        <f t="shared" si="1"/>
        <v>548209</v>
      </c>
      <c r="AB10" s="3">
        <f t="shared" si="1"/>
        <v>469705</v>
      </c>
      <c r="AC10" s="63">
        <f>(AB10-AA10)/AA10</f>
        <v>-0.1432008595262026</v>
      </c>
      <c r="AD10" s="3">
        <f t="shared" si="1"/>
        <v>314798</v>
      </c>
      <c r="AE10" s="3">
        <f t="shared" si="1"/>
        <v>406851</v>
      </c>
      <c r="AF10" s="63">
        <f>(AE10-AD10)/AD10</f>
        <v>0.29241926568783794</v>
      </c>
      <c r="AG10" s="3">
        <f t="shared" si="1"/>
        <v>385858</v>
      </c>
      <c r="AH10" s="3">
        <f t="shared" si="1"/>
        <v>411601</v>
      </c>
      <c r="AI10" s="63">
        <f>(AH10-AG10)/AG10</f>
        <v>6.6716253129389572E-2</v>
      </c>
      <c r="AJ10" s="3">
        <f t="shared" si="1"/>
        <v>344875</v>
      </c>
      <c r="AK10" s="3">
        <f t="shared" si="1"/>
        <v>379896</v>
      </c>
      <c r="AL10" s="63">
        <f>(AK10-AJ10)/AJ10</f>
        <v>0.10154693729612178</v>
      </c>
      <c r="AM10" s="3">
        <f t="shared" si="0"/>
        <v>5195216</v>
      </c>
      <c r="AN10" s="3">
        <f t="shared" si="0"/>
        <v>4598611</v>
      </c>
      <c r="AO10" s="15">
        <f>(AN10-AM10)/AM10</f>
        <v>-0.11483738115989787</v>
      </c>
      <c r="AQ10" s="25"/>
      <c r="AR10" s="24"/>
    </row>
    <row r="12" spans="2:44">
      <c r="B12" s="34" t="s">
        <v>90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AA12" s="81"/>
      <c r="AB12" s="81"/>
      <c r="AC12" s="81"/>
      <c r="AD12" s="81"/>
    </row>
    <row r="13" spans="2:44">
      <c r="B13" s="86" t="s">
        <v>91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W13" s="26"/>
      <c r="X13" s="26"/>
      <c r="Y13" s="26"/>
      <c r="Z13" s="26"/>
      <c r="AA13" s="64"/>
      <c r="AB13" s="80"/>
      <c r="AC13" s="64"/>
      <c r="AD13" s="64"/>
      <c r="AE13" s="26"/>
      <c r="AF13" s="26"/>
      <c r="AG13" s="26"/>
      <c r="AH13" s="26"/>
      <c r="AI13" s="26"/>
      <c r="AM13" s="184"/>
    </row>
    <row r="14" spans="2:44">
      <c r="B14" s="32"/>
      <c r="C14" s="33"/>
      <c r="D14" s="33"/>
      <c r="E14" s="33"/>
      <c r="F14" s="33"/>
      <c r="G14" s="33"/>
      <c r="H14" s="32"/>
      <c r="I14" s="32"/>
      <c r="J14" s="32"/>
      <c r="K14" s="32"/>
      <c r="L14" s="32"/>
      <c r="M14" s="32"/>
      <c r="N14" s="32"/>
      <c r="O14" s="32"/>
      <c r="W14" s="27"/>
      <c r="X14" s="27"/>
      <c r="Y14" s="27"/>
      <c r="Z14" s="27"/>
      <c r="AA14" s="81"/>
      <c r="AB14" s="81"/>
      <c r="AC14" s="81"/>
      <c r="AD14" s="81"/>
      <c r="AE14" s="27"/>
      <c r="AF14" s="27"/>
      <c r="AG14" s="27"/>
      <c r="AH14" s="27"/>
      <c r="AI14" s="27"/>
    </row>
    <row r="15" spans="2:44">
      <c r="B15" s="245" t="s">
        <v>92</v>
      </c>
      <c r="C15" s="245"/>
      <c r="D15" s="27"/>
      <c r="E15" s="27"/>
      <c r="F15" s="27"/>
      <c r="G15" s="27"/>
      <c r="W15" s="27"/>
      <c r="X15" s="27"/>
      <c r="Y15" s="27"/>
      <c r="Z15" s="27"/>
      <c r="AA15" s="64"/>
      <c r="AB15" s="81"/>
      <c r="AH15" s="27"/>
      <c r="AI15" s="27"/>
    </row>
    <row r="16" spans="2:44">
      <c r="B16" s="245" t="s">
        <v>93</v>
      </c>
      <c r="C16" s="245"/>
      <c r="D16" s="27"/>
      <c r="E16" s="27"/>
      <c r="F16" s="27"/>
      <c r="G16" s="27"/>
      <c r="W16" s="27"/>
      <c r="X16" s="27"/>
      <c r="Y16" s="27"/>
      <c r="Z16" s="27"/>
      <c r="AA16" s="64"/>
      <c r="AB16" s="80"/>
      <c r="AH16" s="27"/>
      <c r="AI16" s="27"/>
    </row>
    <row r="17" spans="3:7">
      <c r="C17" s="27"/>
      <c r="D17" s="27"/>
      <c r="E17" s="27"/>
      <c r="F17" s="27"/>
      <c r="G17" s="27"/>
    </row>
  </sheetData>
  <mergeCells count="16">
    <mergeCell ref="B15:C15"/>
    <mergeCell ref="B16:C16"/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hyperlinks>
    <hyperlink ref="B13" r:id="rId1" xr:uid="{A4A9C613-1058-45D1-911B-B8B557792422}"/>
  </hyperlinks>
  <pageMargins left="0.7" right="0.7" top="0.78740157499999996" bottom="0.78740157499999996" header="0.3" footer="0.3"/>
  <pageSetup paperSize="9" orientation="portrait" r:id="rId2"/>
  <ignoredErrors>
    <ignoredError sqref="C10:D10 F10:G10 I10:J10 L10:M10 O10:P10 R10:S10 AA10:AB10 AD10:AE10 U10:V10 X10:Y10 AG10:AH10 AJ10:AK10" formulaRange="1"/>
    <ignoredError sqref="E10 H10 K10 N10 Q10" formula="1" formulaRange="1"/>
    <ignoredError sqref="T10 AC10 AF10 AI10" formula="1"/>
    <ignoredError sqref="W6:W9 Z6:Z9 AF7:AF9 AI7" evalError="1"/>
    <ignoredError sqref="W10 Z10" evalError="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12D95-BCA1-4CC2-B14D-7ED416E3E5F4}">
  <dimension ref="A1:AR31"/>
  <sheetViews>
    <sheetView topLeftCell="B1" zoomScale="112" zoomScaleNormal="112" workbookViewId="0">
      <pane xSplit="1" topLeftCell="AG1" activePane="topRight" state="frozen"/>
      <selection activeCell="B1" sqref="B1"/>
      <selection pane="topRight" activeCell="AM10" sqref="AM10"/>
    </sheetView>
  </sheetViews>
  <sheetFormatPr baseColWidth="10" defaultColWidth="11.42578125" defaultRowHeight="15"/>
  <cols>
    <col min="1" max="1" width="57" style="25" hidden="1" customWidth="1"/>
    <col min="2" max="2" width="25.140625" style="25" customWidth="1"/>
    <col min="3" max="3" width="14.5703125" style="25" customWidth="1"/>
    <col min="4" max="4" width="17.28515625" style="25" customWidth="1"/>
    <col min="5" max="5" width="11.5703125" style="25" customWidth="1"/>
    <col min="6" max="6" width="9.140625" style="25" customWidth="1"/>
    <col min="7" max="7" width="10.140625" style="25" customWidth="1"/>
    <col min="8" max="8" width="10.85546875" style="25" customWidth="1"/>
    <col min="9" max="9" width="9.7109375" style="25" customWidth="1"/>
    <col min="10" max="10" width="9.42578125" style="25" customWidth="1"/>
    <col min="11" max="11" width="10" style="25" customWidth="1"/>
    <col min="12" max="12" width="8.5703125" style="25" customWidth="1"/>
    <col min="13" max="13" width="9.7109375" style="25" customWidth="1"/>
    <col min="14" max="14" width="13.5703125" style="25" customWidth="1"/>
    <col min="15" max="15" width="8.85546875" style="25" customWidth="1"/>
    <col min="16" max="16" width="10.42578125" style="25" customWidth="1"/>
    <col min="17" max="17" width="10.140625" style="25" bestFit="1" customWidth="1"/>
    <col min="18" max="18" width="10.42578125" style="25" customWidth="1"/>
    <col min="19" max="19" width="11.42578125" style="25" customWidth="1"/>
    <col min="20" max="20" width="11.42578125" style="25"/>
    <col min="21" max="21" width="10.42578125" style="25" customWidth="1"/>
    <col min="22" max="22" width="12" style="25" customWidth="1"/>
    <col min="23" max="16384" width="11.42578125" style="25"/>
  </cols>
  <sheetData>
    <row r="1" spans="2:44">
      <c r="B1" s="54" t="s">
        <v>68</v>
      </c>
    </row>
    <row r="2" spans="2:44">
      <c r="S2" s="27"/>
    </row>
    <row r="4" spans="2:44" ht="45" customHeight="1">
      <c r="B4" s="11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1" t="s">
        <v>29</v>
      </c>
      <c r="AN4" s="232"/>
      <c r="AO4" s="237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8" t="s">
        <v>34</v>
      </c>
      <c r="I5" s="12">
        <v>2019</v>
      </c>
      <c r="J5" s="12">
        <v>2020</v>
      </c>
      <c r="K5" s="28" t="s">
        <v>34</v>
      </c>
      <c r="L5" s="12">
        <v>2019</v>
      </c>
      <c r="M5" s="12">
        <v>2020</v>
      </c>
      <c r="N5" s="28" t="s">
        <v>34</v>
      </c>
      <c r="O5" s="12">
        <v>2019</v>
      </c>
      <c r="P5" s="12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2">
        <v>2019</v>
      </c>
      <c r="AN5" s="12">
        <v>2020</v>
      </c>
      <c r="AO5" s="238"/>
    </row>
    <row r="6" spans="2:44">
      <c r="B6" s="20" t="s">
        <v>136</v>
      </c>
      <c r="C6" s="40">
        <v>4483</v>
      </c>
      <c r="D6" s="40">
        <v>5821</v>
      </c>
      <c r="E6" s="62">
        <f>(D6-C6)/C6</f>
        <v>0.29846085210796341</v>
      </c>
      <c r="F6" s="40">
        <v>4502</v>
      </c>
      <c r="G6" s="40">
        <v>5693</v>
      </c>
      <c r="H6" s="62">
        <f>(G6-F6)/F6</f>
        <v>0.26454908929364729</v>
      </c>
      <c r="I6" s="40">
        <v>4976</v>
      </c>
      <c r="J6" s="40">
        <v>7409</v>
      </c>
      <c r="K6" s="62">
        <f>(J6-I6)/I6</f>
        <v>0.48894694533762056</v>
      </c>
      <c r="L6" s="40">
        <v>5864</v>
      </c>
      <c r="M6" s="40">
        <v>1310</v>
      </c>
      <c r="N6" s="62">
        <f>(M6-L6)/L6</f>
        <v>-0.77660300136425653</v>
      </c>
      <c r="O6" s="40">
        <v>6399</v>
      </c>
      <c r="P6" s="40">
        <v>7621</v>
      </c>
      <c r="Q6" s="62">
        <f>(P6-O6)/O6</f>
        <v>0.19096733864666354</v>
      </c>
      <c r="R6" s="40">
        <v>6453</v>
      </c>
      <c r="S6" s="40">
        <v>10715</v>
      </c>
      <c r="T6" s="62">
        <f>(S6-R6)/R6</f>
        <v>0.66046799938013323</v>
      </c>
      <c r="U6" s="40">
        <v>7068</v>
      </c>
      <c r="V6" s="66">
        <v>8574</v>
      </c>
      <c r="W6" s="62">
        <f>(V6-U6)/U6</f>
        <v>0.21307300509337862</v>
      </c>
      <c r="X6" s="40">
        <v>6674</v>
      </c>
      <c r="Y6" s="66">
        <v>10656</v>
      </c>
      <c r="Z6" s="62">
        <f>(Y6-X6)/X6</f>
        <v>0.59664369193886724</v>
      </c>
      <c r="AA6" s="40">
        <v>6593</v>
      </c>
      <c r="AB6" s="66">
        <v>10689</v>
      </c>
      <c r="AC6" s="62">
        <f>(AB6-AA6)/AA6</f>
        <v>0.62126497800697711</v>
      </c>
      <c r="AD6" s="40">
        <v>7458</v>
      </c>
      <c r="AE6" s="66">
        <v>10218</v>
      </c>
      <c r="AF6" s="62">
        <f>(AE6-AD6)/AD6</f>
        <v>0.37007240547063558</v>
      </c>
      <c r="AG6" s="40">
        <v>7951</v>
      </c>
      <c r="AH6" s="66">
        <v>10350</v>
      </c>
      <c r="AI6" s="62">
        <f>(AH6-AG6)/AG6</f>
        <v>0.30172305370393659</v>
      </c>
      <c r="AJ6" s="46">
        <v>8903</v>
      </c>
      <c r="AK6" s="11">
        <v>11539</v>
      </c>
      <c r="AL6" s="62">
        <f>(AK6-AJ6)/AJ6</f>
        <v>0.29607997304279454</v>
      </c>
      <c r="AM6" s="67">
        <f t="shared" ref="AM6:AN8" si="0">C6+F6+I6+L6+O6+R6+U6+X6+AA6+AD6+AG6+AJ6</f>
        <v>77324</v>
      </c>
      <c r="AN6" s="67">
        <f t="shared" si="0"/>
        <v>100595</v>
      </c>
      <c r="AO6" s="72">
        <f>(AN6-AM6)/AM6</f>
        <v>0.30095442553411617</v>
      </c>
    </row>
    <row r="7" spans="2:44">
      <c r="B7" s="20" t="s">
        <v>5</v>
      </c>
      <c r="C7" s="40">
        <v>43</v>
      </c>
      <c r="D7" s="40">
        <v>15</v>
      </c>
      <c r="E7" s="62">
        <f>(D7-C7)/C7</f>
        <v>-0.65116279069767447</v>
      </c>
      <c r="F7" s="40">
        <v>1</v>
      </c>
      <c r="G7" s="40">
        <v>3</v>
      </c>
      <c r="H7" s="62">
        <f>(G7-F7)/F7</f>
        <v>2</v>
      </c>
      <c r="I7" s="40">
        <v>78</v>
      </c>
      <c r="J7" s="40">
        <v>35</v>
      </c>
      <c r="K7" s="62">
        <f>(J7-I7)/I7</f>
        <v>-0.55128205128205132</v>
      </c>
      <c r="L7" s="40">
        <v>3</v>
      </c>
      <c r="M7" s="40">
        <v>50</v>
      </c>
      <c r="N7" s="62">
        <f>(M7-L7)/L7</f>
        <v>15.666666666666666</v>
      </c>
      <c r="O7" s="40">
        <v>100</v>
      </c>
      <c r="P7" s="40">
        <v>22</v>
      </c>
      <c r="Q7" s="62">
        <f>(P7-O7)/O7</f>
        <v>-0.78</v>
      </c>
      <c r="R7" s="11">
        <v>97</v>
      </c>
      <c r="S7" s="11">
        <v>56</v>
      </c>
      <c r="T7" s="62">
        <f>(S7-R7)/R7</f>
        <v>-0.42268041237113402</v>
      </c>
      <c r="U7" s="11">
        <v>333</v>
      </c>
      <c r="V7" s="11">
        <v>55</v>
      </c>
      <c r="W7" s="62">
        <f>(V7-U7)/U7</f>
        <v>-0.83483483483483478</v>
      </c>
      <c r="X7" s="40">
        <v>55</v>
      </c>
      <c r="Y7" s="11">
        <v>144</v>
      </c>
      <c r="Z7" s="62">
        <f>(Y7-X7)/X7</f>
        <v>1.6181818181818182</v>
      </c>
      <c r="AA7" s="27">
        <v>39</v>
      </c>
      <c r="AB7" s="11">
        <v>251</v>
      </c>
      <c r="AC7" s="62">
        <f>(AB7-AA7)/AA7</f>
        <v>5.4358974358974361</v>
      </c>
      <c r="AD7" s="27">
        <v>22</v>
      </c>
      <c r="AE7" s="11">
        <v>211</v>
      </c>
      <c r="AF7" s="62">
        <f>(AE7-AD7)/AD7</f>
        <v>8.5909090909090917</v>
      </c>
      <c r="AG7" s="27">
        <v>11</v>
      </c>
      <c r="AH7" s="11">
        <v>76</v>
      </c>
      <c r="AI7" s="62">
        <f>(AH7-AG7)/AG7</f>
        <v>5.9090909090909092</v>
      </c>
      <c r="AJ7" s="46">
        <v>86</v>
      </c>
      <c r="AK7" s="11">
        <v>150</v>
      </c>
      <c r="AL7" s="62">
        <f>(AK7-AJ7)/AJ7</f>
        <v>0.7441860465116279</v>
      </c>
      <c r="AM7" s="67">
        <f t="shared" si="0"/>
        <v>868</v>
      </c>
      <c r="AN7" s="67">
        <f t="shared" si="0"/>
        <v>1068</v>
      </c>
      <c r="AO7" s="72">
        <f>(AN7-AM7)/AM7</f>
        <v>0.2304147465437788</v>
      </c>
    </row>
    <row r="8" spans="2:44" s="10" customFormat="1">
      <c r="B8" s="47" t="s">
        <v>7</v>
      </c>
      <c r="C8" s="16">
        <f>SUM(C6:C7)</f>
        <v>4526</v>
      </c>
      <c r="D8" s="16">
        <f>SUM(D6:D7)</f>
        <v>5836</v>
      </c>
      <c r="E8" s="63">
        <f>(D8-C8)/C8</f>
        <v>0.28943879805567829</v>
      </c>
      <c r="F8" s="16">
        <f>SUM(F6:F7)</f>
        <v>4503</v>
      </c>
      <c r="G8" s="16">
        <f>SUM(G6:G7)</f>
        <v>5696</v>
      </c>
      <c r="H8" s="63">
        <f>(G8-F8)/F8</f>
        <v>0.26493448811903175</v>
      </c>
      <c r="I8" s="16">
        <f>SUM(I6:I7)</f>
        <v>5054</v>
      </c>
      <c r="J8" s="16">
        <f>SUM(J6:J7)</f>
        <v>7444</v>
      </c>
      <c r="K8" s="63">
        <f>(J8-I8)/I8</f>
        <v>0.47289275821131777</v>
      </c>
      <c r="L8" s="41">
        <f>SUM(L6:L7)</f>
        <v>5867</v>
      </c>
      <c r="M8" s="16">
        <f>SUM(M6:M7)</f>
        <v>1360</v>
      </c>
      <c r="N8" s="63">
        <f>(M8-L8)/L8</f>
        <v>-0.76819498892108407</v>
      </c>
      <c r="O8" s="16">
        <f>SUM(O6:O7)</f>
        <v>6499</v>
      </c>
      <c r="P8" s="16">
        <f>SUM(P6:P7)</f>
        <v>7643</v>
      </c>
      <c r="Q8" s="63">
        <f>(P8-O8)/O8</f>
        <v>0.17602708108939838</v>
      </c>
      <c r="R8" s="16">
        <f>SUM(R6:R7)</f>
        <v>6550</v>
      </c>
      <c r="S8" s="16">
        <f>SUM(S6:S7)</f>
        <v>10771</v>
      </c>
      <c r="T8" s="63">
        <f>(S8-R8)/R8</f>
        <v>0.64442748091603053</v>
      </c>
      <c r="U8" s="67">
        <f>SUM(U6:U7)</f>
        <v>7401</v>
      </c>
      <c r="V8" s="67">
        <f>SUM(V6:V7)</f>
        <v>8629</v>
      </c>
      <c r="W8" s="63">
        <f>(V8-U8)/U8</f>
        <v>0.16592352384812864</v>
      </c>
      <c r="X8" s="67">
        <f>SUM(X6:X7)</f>
        <v>6729</v>
      </c>
      <c r="Y8" s="67">
        <f>SUM(Y6:Y7)</f>
        <v>10800</v>
      </c>
      <c r="Z8" s="63">
        <f>(Y8-X8)/X8</f>
        <v>0.60499331252786448</v>
      </c>
      <c r="AA8" s="67">
        <f>SUM(AA6:AA7)</f>
        <v>6632</v>
      </c>
      <c r="AB8" s="67">
        <f>SUM(AB6:AB7)</f>
        <v>10940</v>
      </c>
      <c r="AC8" s="63">
        <f>(AB8-AA8)/AA8</f>
        <v>0.64957780458383596</v>
      </c>
      <c r="AD8" s="67">
        <f>SUM(AD6:AD7)</f>
        <v>7480</v>
      </c>
      <c r="AE8" s="67">
        <f>SUM(AE6:AE7)</f>
        <v>10429</v>
      </c>
      <c r="AF8" s="63">
        <f>(AE8-AD8)/AD8</f>
        <v>0.3942513368983957</v>
      </c>
      <c r="AG8" s="187">
        <f>SUM(AG6:AG7)</f>
        <v>7962</v>
      </c>
      <c r="AH8" s="187">
        <f>SUM(AH6:AH7)</f>
        <v>10426</v>
      </c>
      <c r="AI8" s="63">
        <f>(AH8-AG8)/AG8</f>
        <v>0.30946998241647827</v>
      </c>
      <c r="AJ8" s="187">
        <f>SUM(AJ6:AJ7)</f>
        <v>8989</v>
      </c>
      <c r="AK8" s="187">
        <f>SUM(AK6:AK7)</f>
        <v>11689</v>
      </c>
      <c r="AL8" s="63">
        <f>(AK8-AJ8)/AJ8</f>
        <v>0.30036711536322169</v>
      </c>
      <c r="AM8" s="67">
        <f t="shared" si="0"/>
        <v>78192</v>
      </c>
      <c r="AN8" s="67">
        <f t="shared" si="0"/>
        <v>101663</v>
      </c>
      <c r="AO8" s="73">
        <f>(AN8-AM8)/AM8</f>
        <v>0.30017137303048907</v>
      </c>
      <c r="AQ8" s="25"/>
      <c r="AR8" s="24"/>
    </row>
    <row r="10" spans="2:44" ht="30">
      <c r="B10" s="186" t="s">
        <v>69</v>
      </c>
      <c r="C10" s="86" t="s">
        <v>125</v>
      </c>
      <c r="F10" s="81"/>
      <c r="AM10" s="184"/>
    </row>
    <row r="11" spans="2:44" s="64" customFormat="1">
      <c r="B11" s="55"/>
      <c r="C11" s="86"/>
    </row>
    <row r="12" spans="2:44" s="64" customFormat="1">
      <c r="B12" s="55"/>
      <c r="C12" s="157"/>
      <c r="D12" s="81"/>
    </row>
    <row r="13" spans="2:44"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2:44"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2:44"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27"/>
      <c r="AG15" s="27"/>
      <c r="AH15" s="27"/>
      <c r="AI15" s="27"/>
    </row>
    <row r="16" spans="2:44"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27"/>
      <c r="AG16" s="27"/>
      <c r="AH16" s="27"/>
      <c r="AI16" s="27"/>
    </row>
    <row r="17" spans="3:35"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27"/>
      <c r="AG17" s="27"/>
      <c r="AH17" s="27"/>
      <c r="AI17" s="27"/>
    </row>
    <row r="18" spans="3:35"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27"/>
      <c r="AG18" s="27"/>
      <c r="AH18" s="27"/>
      <c r="AI18" s="27"/>
    </row>
    <row r="19" spans="3:35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27"/>
      <c r="AG19" s="27"/>
      <c r="AH19" s="27"/>
      <c r="AI19" s="27"/>
    </row>
    <row r="20" spans="3:35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27"/>
      <c r="AG20" s="27"/>
      <c r="AH20" s="27"/>
      <c r="AI20" s="27"/>
    </row>
    <row r="21" spans="3:35"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3:35"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3:35" s="64" customFormat="1"/>
    <row r="24" spans="3:35"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3:35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3:35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3:35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</row>
    <row r="28" spans="3:35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</row>
    <row r="29" spans="3:3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</row>
    <row r="30" spans="3:35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</row>
    <row r="31" spans="3:3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C10" r:id="rId1" xr:uid="{12908054-6E83-45C8-B41F-2A27E983E2F2}"/>
  </hyperlinks>
  <pageMargins left="0.7" right="0.7" top="0.78740157499999996" bottom="0.78740157499999996" header="0.3" footer="0.3"/>
  <pageSetup paperSize="9" orientation="portrait" r:id="rId2"/>
  <ignoredErrors>
    <ignoredError sqref="E8 H8 K8 N8 Q8 T8 W8 Z8 AC8" formula="1"/>
    <ignoredError sqref="C8:D8 F8:G8 I8:J8 L8:M8 O8:P8 R8:S8 U8:V8 X8:Y8 AA8:AB8 AD8:AE8 AG8:AH8 AJ8:AK8" formulaRange="1"/>
    <ignoredError sqref="AF6:AF7 AI6:AI7 AL6:AL8" evalError="1"/>
    <ignoredError sqref="AF8 AI8" evalError="1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41F92-6B0A-40FB-87CE-F842B07B8801}">
  <dimension ref="A1:AR20"/>
  <sheetViews>
    <sheetView topLeftCell="B1" zoomScaleNormal="100" workbookViewId="0">
      <pane xSplit="1" topLeftCell="AE1" activePane="topRight" state="frozen"/>
      <selection activeCell="B1" sqref="B1"/>
      <selection pane="topRight" activeCell="AM13" sqref="AM13"/>
    </sheetView>
  </sheetViews>
  <sheetFormatPr baseColWidth="10" defaultColWidth="11.42578125" defaultRowHeight="15"/>
  <cols>
    <col min="1" max="1" width="57" style="64" hidden="1" customWidth="1"/>
    <col min="2" max="2" width="21" style="64" customWidth="1"/>
    <col min="3" max="3" width="8.7109375" style="64" customWidth="1"/>
    <col min="4" max="4" width="9" style="64" customWidth="1"/>
    <col min="5" max="5" width="11.5703125" style="64" customWidth="1"/>
    <col min="6" max="6" width="9.140625" style="64" customWidth="1"/>
    <col min="7" max="7" width="10.140625" style="64" customWidth="1"/>
    <col min="8" max="8" width="10.85546875" style="64" customWidth="1"/>
    <col min="9" max="9" width="9.7109375" style="64" customWidth="1"/>
    <col min="10" max="10" width="9.42578125" style="64" customWidth="1"/>
    <col min="11" max="11" width="10" style="64" customWidth="1"/>
    <col min="12" max="12" width="8.7109375" style="64" customWidth="1"/>
    <col min="13" max="13" width="9.7109375" style="64" customWidth="1"/>
    <col min="14" max="14" width="11.140625" style="64" customWidth="1"/>
    <col min="15" max="15" width="8.85546875" style="64" customWidth="1"/>
    <col min="16" max="16" width="10.5703125" style="64" customWidth="1"/>
    <col min="17" max="17" width="10.140625" style="64" customWidth="1"/>
    <col min="18" max="18" width="9.42578125" style="64" customWidth="1"/>
    <col min="19" max="19" width="12.28515625" style="64" customWidth="1"/>
    <col min="20" max="20" width="11.42578125" style="64" customWidth="1"/>
    <col min="21" max="21" width="10.42578125" style="64" customWidth="1"/>
    <col min="22" max="22" width="10.5703125" style="64" customWidth="1"/>
    <col min="23" max="23" width="11.42578125" style="64"/>
    <col min="24" max="38" width="11.42578125" style="64" customWidth="1"/>
    <col min="39" max="16384" width="11.42578125" style="64"/>
  </cols>
  <sheetData>
    <row r="1" spans="2:44">
      <c r="B1" s="70" t="s">
        <v>59</v>
      </c>
    </row>
    <row r="2" spans="2:44">
      <c r="B2" s="87"/>
      <c r="S2" s="81"/>
    </row>
    <row r="4" spans="2:44" ht="45" customHeight="1">
      <c r="B4" s="65"/>
      <c r="C4" s="233" t="s">
        <v>8</v>
      </c>
      <c r="D4" s="233"/>
      <c r="E4" s="85" t="s">
        <v>30</v>
      </c>
      <c r="F4" s="233" t="s">
        <v>9</v>
      </c>
      <c r="G4" s="233"/>
      <c r="H4" s="83" t="s">
        <v>30</v>
      </c>
      <c r="I4" s="233" t="s">
        <v>10</v>
      </c>
      <c r="J4" s="233"/>
      <c r="K4" s="83" t="s">
        <v>30</v>
      </c>
      <c r="L4" s="233" t="s">
        <v>11</v>
      </c>
      <c r="M4" s="233"/>
      <c r="N4" s="82" t="s">
        <v>30</v>
      </c>
      <c r="O4" s="233" t="s">
        <v>0</v>
      </c>
      <c r="P4" s="233"/>
      <c r="Q4" s="83" t="s">
        <v>30</v>
      </c>
      <c r="R4" s="233" t="s">
        <v>1</v>
      </c>
      <c r="S4" s="233"/>
      <c r="T4" s="82" t="s">
        <v>30</v>
      </c>
      <c r="U4" s="231" t="s">
        <v>2</v>
      </c>
      <c r="V4" s="232"/>
      <c r="W4" s="82" t="s">
        <v>30</v>
      </c>
      <c r="X4" s="233" t="s">
        <v>12</v>
      </c>
      <c r="Y4" s="233"/>
      <c r="Z4" s="82" t="s">
        <v>30</v>
      </c>
      <c r="AA4" s="231" t="s">
        <v>13</v>
      </c>
      <c r="AB4" s="234"/>
      <c r="AC4" s="82" t="s">
        <v>30</v>
      </c>
      <c r="AD4" s="231" t="s">
        <v>14</v>
      </c>
      <c r="AE4" s="232"/>
      <c r="AF4" s="84" t="s">
        <v>30</v>
      </c>
      <c r="AG4" s="231" t="s">
        <v>15</v>
      </c>
      <c r="AH4" s="234"/>
      <c r="AI4" s="82" t="s">
        <v>30</v>
      </c>
      <c r="AJ4" s="231" t="s">
        <v>16</v>
      </c>
      <c r="AK4" s="234"/>
      <c r="AL4" s="84" t="s">
        <v>30</v>
      </c>
      <c r="AM4" s="231" t="s">
        <v>29</v>
      </c>
      <c r="AN4" s="232"/>
      <c r="AO4" s="237" t="s">
        <v>28</v>
      </c>
    </row>
    <row r="5" spans="2:44" ht="15" customHeight="1">
      <c r="B5" s="65"/>
      <c r="C5" s="71">
        <v>2019</v>
      </c>
      <c r="D5" s="71">
        <v>2020</v>
      </c>
      <c r="E5" s="74" t="s">
        <v>34</v>
      </c>
      <c r="F5" s="71">
        <v>2019</v>
      </c>
      <c r="G5" s="71">
        <v>2020</v>
      </c>
      <c r="H5" s="82" t="s">
        <v>34</v>
      </c>
      <c r="I5" s="71">
        <v>2019</v>
      </c>
      <c r="J5" s="71">
        <v>2020</v>
      </c>
      <c r="K5" s="82" t="s">
        <v>34</v>
      </c>
      <c r="L5" s="71">
        <v>2019</v>
      </c>
      <c r="M5" s="71">
        <v>2020</v>
      </c>
      <c r="N5" s="82" t="s">
        <v>34</v>
      </c>
      <c r="O5" s="71">
        <v>2019</v>
      </c>
      <c r="P5" s="71">
        <v>2020</v>
      </c>
      <c r="Q5" s="82" t="s">
        <v>34</v>
      </c>
      <c r="R5" s="71">
        <v>2019</v>
      </c>
      <c r="S5" s="71">
        <v>2020</v>
      </c>
      <c r="T5" s="82" t="s">
        <v>34</v>
      </c>
      <c r="U5" s="71">
        <v>2019</v>
      </c>
      <c r="V5" s="71">
        <v>2020</v>
      </c>
      <c r="W5" s="82" t="s">
        <v>34</v>
      </c>
      <c r="X5" s="71">
        <v>2019</v>
      </c>
      <c r="Y5" s="71">
        <v>2020</v>
      </c>
      <c r="Z5" s="82" t="s">
        <v>34</v>
      </c>
      <c r="AA5" s="71">
        <v>2019</v>
      </c>
      <c r="AB5" s="71">
        <v>2020</v>
      </c>
      <c r="AC5" s="82" t="s">
        <v>34</v>
      </c>
      <c r="AD5" s="71">
        <v>2019</v>
      </c>
      <c r="AE5" s="71">
        <v>2020</v>
      </c>
      <c r="AF5" s="84" t="s">
        <v>34</v>
      </c>
      <c r="AG5" s="71">
        <v>2019</v>
      </c>
      <c r="AH5" s="71">
        <v>2020</v>
      </c>
      <c r="AI5" s="82" t="s">
        <v>34</v>
      </c>
      <c r="AJ5" s="71">
        <v>2019</v>
      </c>
      <c r="AK5" s="71">
        <v>2020</v>
      </c>
      <c r="AL5" s="82" t="s">
        <v>34</v>
      </c>
      <c r="AM5" s="71">
        <v>2019</v>
      </c>
      <c r="AN5" s="71">
        <v>2020</v>
      </c>
      <c r="AO5" s="238"/>
    </row>
    <row r="6" spans="2:44">
      <c r="B6" s="75" t="s">
        <v>6</v>
      </c>
      <c r="C6" s="123">
        <v>134160</v>
      </c>
      <c r="D6" s="123">
        <v>115984</v>
      </c>
      <c r="E6" s="118">
        <f>(D6-C6)/C6</f>
        <v>-0.13548002385211688</v>
      </c>
      <c r="F6" s="123">
        <v>97261</v>
      </c>
      <c r="G6" s="123">
        <v>87536</v>
      </c>
      <c r="H6" s="118">
        <f>(G6-F6)/F6</f>
        <v>-9.9988690225270155E-2</v>
      </c>
      <c r="I6" s="123">
        <v>124934</v>
      </c>
      <c r="J6" s="123">
        <v>138019</v>
      </c>
      <c r="K6" s="118">
        <f>(J6-I6)/I6</f>
        <v>0.10473530023852594</v>
      </c>
      <c r="L6" s="123">
        <v>128999</v>
      </c>
      <c r="M6" s="123">
        <v>139319</v>
      </c>
      <c r="N6" s="118">
        <f>(M6-L6)/L6</f>
        <v>8.00006201598462E-2</v>
      </c>
      <c r="O6" s="123">
        <v>127437</v>
      </c>
      <c r="P6" s="123">
        <v>146280</v>
      </c>
      <c r="Q6" s="118">
        <f>(P6-O6)/O6</f>
        <v>0.14786129616987218</v>
      </c>
      <c r="R6" s="123">
        <v>116311</v>
      </c>
      <c r="S6" s="123">
        <v>179715</v>
      </c>
      <c r="T6" s="118">
        <f>(S6-R6)/R6</f>
        <v>0.54512470875497587</v>
      </c>
      <c r="U6" s="123">
        <v>127646</v>
      </c>
      <c r="V6" s="123">
        <v>146368</v>
      </c>
      <c r="W6" s="118">
        <f>(V6-U6)/U6</f>
        <v>0.14667126271093492</v>
      </c>
      <c r="X6" s="166">
        <v>112730</v>
      </c>
      <c r="Y6" s="166">
        <v>110454</v>
      </c>
      <c r="Z6" s="118">
        <f>(Y6-X6)/X6</f>
        <v>-2.0189834116916525E-2</v>
      </c>
      <c r="AA6" s="66">
        <v>119071</v>
      </c>
      <c r="AB6" s="66">
        <v>143687</v>
      </c>
      <c r="AC6" s="118">
        <f>(AB6-AA6)/AA6</f>
        <v>0.20673379748217449</v>
      </c>
      <c r="AD6" s="66">
        <v>130481</v>
      </c>
      <c r="AE6" s="66">
        <v>129794</v>
      </c>
      <c r="AF6" s="118">
        <f>(AE6-AD6)/AD6</f>
        <v>-5.2651343873820712E-3</v>
      </c>
      <c r="AG6" s="66">
        <v>139512</v>
      </c>
      <c r="AH6" s="66">
        <v>143818</v>
      </c>
      <c r="AI6" s="118">
        <f>(AH6-AG6)/AG6</f>
        <v>3.0864728482137737E-2</v>
      </c>
      <c r="AJ6" s="68">
        <v>138493</v>
      </c>
      <c r="AK6" s="66">
        <v>137359</v>
      </c>
      <c r="AL6" s="118">
        <f>(AK6-AJ6)/AJ6</f>
        <v>-8.1881394727531358E-3</v>
      </c>
      <c r="AM6" s="67">
        <f t="shared" ref="AM6:AN10" si="0">C6+F6+I6+L6+O6+R6+U6+X6+AA6+AD6+AG6+AJ6</f>
        <v>1497035</v>
      </c>
      <c r="AN6" s="67">
        <f t="shared" si="0"/>
        <v>1618333</v>
      </c>
      <c r="AO6" s="72">
        <f>(AN6-AM6)/AM6</f>
        <v>8.1025493725931597E-2</v>
      </c>
    </row>
    <row r="7" spans="2:44">
      <c r="B7" s="75" t="s">
        <v>3</v>
      </c>
      <c r="C7" s="138">
        <v>24913</v>
      </c>
      <c r="D7" s="123">
        <v>18860</v>
      </c>
      <c r="E7" s="118">
        <f>(D7-C7)/C7</f>
        <v>-0.24296552000963353</v>
      </c>
      <c r="F7" s="138">
        <v>16215</v>
      </c>
      <c r="G7" s="123">
        <v>14609</v>
      </c>
      <c r="H7" s="118">
        <f>(G7-F7)/F7</f>
        <v>-9.9044094973789701E-2</v>
      </c>
      <c r="I7" s="136">
        <v>22054</v>
      </c>
      <c r="J7" s="123">
        <v>18119</v>
      </c>
      <c r="K7" s="118">
        <f>(J7-I7)/I7</f>
        <v>-0.17842568241588827</v>
      </c>
      <c r="L7" s="137">
        <v>22567</v>
      </c>
      <c r="M7" s="123">
        <v>17375</v>
      </c>
      <c r="N7" s="118">
        <f>(M7-L7)/L7</f>
        <v>-0.23007045686178934</v>
      </c>
      <c r="O7" s="137">
        <v>20578</v>
      </c>
      <c r="P7" s="123">
        <v>16751</v>
      </c>
      <c r="Q7" s="118">
        <f>(P7-O7)/O7</f>
        <v>-0.1859753134415395</v>
      </c>
      <c r="R7" s="137">
        <v>18994</v>
      </c>
      <c r="S7" s="123">
        <v>20468</v>
      </c>
      <c r="T7" s="118">
        <f>(S7-R7)/R7</f>
        <v>7.7603453722228072E-2</v>
      </c>
      <c r="U7" s="137">
        <v>22384</v>
      </c>
      <c r="V7" s="123">
        <v>21498</v>
      </c>
      <c r="W7" s="118">
        <f>(V7-U7)/U7</f>
        <v>-3.958184417441029E-2</v>
      </c>
      <c r="X7" s="166">
        <v>17143</v>
      </c>
      <c r="Y7" s="166">
        <v>15524</v>
      </c>
      <c r="Z7" s="118">
        <f>(Y7-X7)/X7</f>
        <v>-9.4440879659336174E-2</v>
      </c>
      <c r="AA7" s="66">
        <v>13501</v>
      </c>
      <c r="AB7" s="66">
        <v>19271</v>
      </c>
      <c r="AC7" s="118">
        <f>(AB7-AA7)/AA7</f>
        <v>0.42737574994444855</v>
      </c>
      <c r="AD7" s="66">
        <v>18121</v>
      </c>
      <c r="AE7" s="66">
        <v>18035</v>
      </c>
      <c r="AF7" s="118">
        <f>(AE7-AD7)/AD7</f>
        <v>-4.7458749517134812E-3</v>
      </c>
      <c r="AG7" s="66">
        <v>20708</v>
      </c>
      <c r="AH7" s="66">
        <v>19372</v>
      </c>
      <c r="AI7" s="118">
        <f>(AH7-AG7)/AG7</f>
        <v>-6.4516129032258063E-2</v>
      </c>
      <c r="AJ7" s="68">
        <v>16951</v>
      </c>
      <c r="AK7" s="66">
        <v>16178</v>
      </c>
      <c r="AL7" s="118">
        <f>(AK7-AJ7)/AJ7</f>
        <v>-4.5602029378797711E-2</v>
      </c>
      <c r="AM7" s="67">
        <f t="shared" si="0"/>
        <v>234129</v>
      </c>
      <c r="AN7" s="67">
        <f t="shared" si="0"/>
        <v>216060</v>
      </c>
      <c r="AO7" s="72">
        <f>(AN7-AM7)/AM7</f>
        <v>-7.7175403303307147E-2</v>
      </c>
    </row>
    <row r="8" spans="2:44">
      <c r="B8" s="75" t="s">
        <v>4</v>
      </c>
      <c r="C8" s="133">
        <v>2280</v>
      </c>
      <c r="D8" s="123">
        <v>2502</v>
      </c>
      <c r="E8" s="118">
        <f>(D8-C8)/C8</f>
        <v>9.7368421052631576E-2</v>
      </c>
      <c r="F8" s="133">
        <v>1594</v>
      </c>
      <c r="G8" s="123">
        <v>2912</v>
      </c>
      <c r="H8" s="118">
        <f>(G8-F8)/F8</f>
        <v>0.82685069008782941</v>
      </c>
      <c r="I8" s="133">
        <v>2308</v>
      </c>
      <c r="J8" s="134">
        <v>3616</v>
      </c>
      <c r="K8" s="135">
        <f>(J8-I8)/I8</f>
        <v>0.56672443674176776</v>
      </c>
      <c r="L8" s="133">
        <v>2354</v>
      </c>
      <c r="M8" s="134">
        <v>3156</v>
      </c>
      <c r="N8" s="135">
        <f>(M8-L8)/L8</f>
        <v>0.34069668649107904</v>
      </c>
      <c r="O8" s="133">
        <v>2092</v>
      </c>
      <c r="P8" s="134">
        <v>2807</v>
      </c>
      <c r="Q8" s="135">
        <f>(P8-O8)/O8</f>
        <v>0.34177820267686426</v>
      </c>
      <c r="R8" s="133">
        <v>1829</v>
      </c>
      <c r="S8" s="134">
        <v>3070</v>
      </c>
      <c r="T8" s="135">
        <f>(S8-R8)/R8</f>
        <v>0.67851284855112082</v>
      </c>
      <c r="U8" s="133">
        <v>2141</v>
      </c>
      <c r="V8" s="134">
        <v>3081</v>
      </c>
      <c r="W8" s="118">
        <f>(V8-U8)/U8</f>
        <v>0.43904717421765532</v>
      </c>
      <c r="X8" s="166">
        <v>1264</v>
      </c>
      <c r="Y8" s="166">
        <v>2479</v>
      </c>
      <c r="Z8" s="118">
        <f>(Y8-X8)/X8</f>
        <v>0.96123417721518989</v>
      </c>
      <c r="AA8" s="66">
        <v>1195</v>
      </c>
      <c r="AB8" s="66">
        <v>4641</v>
      </c>
      <c r="AC8" s="118">
        <f>(AB8-AA8)/AA8</f>
        <v>2.8836820083682007</v>
      </c>
      <c r="AD8" s="66">
        <v>1453</v>
      </c>
      <c r="AE8" s="66">
        <v>4650</v>
      </c>
      <c r="AF8" s="118">
        <f>(AE8-AD8)/AD8</f>
        <v>2.2002752924982794</v>
      </c>
      <c r="AG8" s="66">
        <v>2083</v>
      </c>
      <c r="AH8" s="66">
        <v>3880</v>
      </c>
      <c r="AI8" s="118">
        <f>(AH8-AG8)/AG8</f>
        <v>0.86269803168506964</v>
      </c>
      <c r="AJ8" s="68">
        <v>1848</v>
      </c>
      <c r="AK8" s="66">
        <v>3367</v>
      </c>
      <c r="AL8" s="118">
        <f>(AK8-AJ8)/AJ8</f>
        <v>0.82196969696969702</v>
      </c>
      <c r="AM8" s="67">
        <f t="shared" si="0"/>
        <v>22441</v>
      </c>
      <c r="AN8" s="67">
        <f t="shared" si="0"/>
        <v>40161</v>
      </c>
      <c r="AO8" s="72">
        <f>(AN8-AM8)/AM8</f>
        <v>0.78962613074283672</v>
      </c>
    </row>
    <row r="9" spans="2:44">
      <c r="B9" s="75" t="s">
        <v>5</v>
      </c>
      <c r="C9" s="123">
        <v>4349</v>
      </c>
      <c r="D9" s="123">
        <v>3004</v>
      </c>
      <c r="E9" s="118">
        <f>(D9-C9)/C9</f>
        <v>-0.30926649804552769</v>
      </c>
      <c r="F9" s="123">
        <v>2870</v>
      </c>
      <c r="G9" s="123">
        <v>2364</v>
      </c>
      <c r="H9" s="118">
        <f>(G9-F9)/F9</f>
        <v>-0.17630662020905924</v>
      </c>
      <c r="I9" s="123">
        <v>4300</v>
      </c>
      <c r="J9" s="123">
        <v>2682</v>
      </c>
      <c r="K9" s="118">
        <f>(J9-I9)/I9</f>
        <v>-0.37627906976744185</v>
      </c>
      <c r="L9" s="123">
        <v>4241</v>
      </c>
      <c r="M9" s="123">
        <v>2934</v>
      </c>
      <c r="N9" s="118">
        <f>(M9-L9)/L9</f>
        <v>-0.30818203253949539</v>
      </c>
      <c r="O9" s="123">
        <v>3639</v>
      </c>
      <c r="P9" s="123">
        <v>2728</v>
      </c>
      <c r="Q9" s="118">
        <f>(P9-O9)/O9</f>
        <v>-0.25034350096180269</v>
      </c>
      <c r="R9" s="123">
        <v>3309</v>
      </c>
      <c r="S9" s="123">
        <v>3447</v>
      </c>
      <c r="T9" s="118">
        <f>(S9-R9)/R9</f>
        <v>4.1704442429737081E-2</v>
      </c>
      <c r="U9" s="123">
        <v>2870</v>
      </c>
      <c r="V9" s="123">
        <v>2984</v>
      </c>
      <c r="W9" s="118">
        <f>(V9-U9)/U9</f>
        <v>3.9721254355400699E-2</v>
      </c>
      <c r="X9" s="166">
        <v>2451</v>
      </c>
      <c r="Y9" s="166">
        <v>1782</v>
      </c>
      <c r="Z9" s="118">
        <f>(Y9-X9)/X9</f>
        <v>-0.27294981640146881</v>
      </c>
      <c r="AA9" s="81">
        <v>2855</v>
      </c>
      <c r="AB9" s="66">
        <v>2019</v>
      </c>
      <c r="AC9" s="118">
        <f>(AB9-AA9)/AA9</f>
        <v>-0.29281961471103329</v>
      </c>
      <c r="AD9" s="81">
        <v>3843</v>
      </c>
      <c r="AE9" s="66">
        <v>2194</v>
      </c>
      <c r="AF9" s="118">
        <f>(AE9-AD9)/AD9</f>
        <v>-0.42909185532136351</v>
      </c>
      <c r="AG9" s="81">
        <v>3547</v>
      </c>
      <c r="AH9" s="66">
        <v>2526</v>
      </c>
      <c r="AI9" s="118">
        <f>(AH9-AG9)/AG9</f>
        <v>-0.28784888638285877</v>
      </c>
      <c r="AJ9" s="68">
        <v>3255</v>
      </c>
      <c r="AK9" s="66">
        <v>2754</v>
      </c>
      <c r="AL9" s="118">
        <f>(AK9-AJ9)/AJ9</f>
        <v>-0.15391705069124423</v>
      </c>
      <c r="AM9" s="67">
        <f t="shared" si="0"/>
        <v>41529</v>
      </c>
      <c r="AN9" s="67">
        <f t="shared" si="0"/>
        <v>31418</v>
      </c>
      <c r="AO9" s="72">
        <f>(AN9-AM9)/AM9</f>
        <v>-0.24346841965855184</v>
      </c>
    </row>
    <row r="10" spans="2:44" s="70" customFormat="1">
      <c r="B10" s="76" t="s">
        <v>7</v>
      </c>
      <c r="C10" s="67">
        <f>SUM(C6:C9)</f>
        <v>165702</v>
      </c>
      <c r="D10" s="67">
        <f>SUM(D6:D9)</f>
        <v>140350</v>
      </c>
      <c r="E10" s="78">
        <f>(D10-C10)/C10</f>
        <v>-0.15299754981834859</v>
      </c>
      <c r="F10" s="67">
        <f>SUM(F6:F9)</f>
        <v>117940</v>
      </c>
      <c r="G10" s="67">
        <f>SUM(G6:G9)</f>
        <v>107421</v>
      </c>
      <c r="H10" s="78">
        <f>(G10-F10)/F10</f>
        <v>-8.9189418348312705E-2</v>
      </c>
      <c r="I10" s="67">
        <f>SUM(I6:I9)</f>
        <v>153596</v>
      </c>
      <c r="J10" s="67">
        <f>SUM(J6:J9)</f>
        <v>162436</v>
      </c>
      <c r="K10" s="78">
        <f>(J10-I10)/I10</f>
        <v>5.7553582124534493E-2</v>
      </c>
      <c r="L10" s="67">
        <f>SUM(L6:L9)</f>
        <v>158161</v>
      </c>
      <c r="M10" s="67">
        <f>SUM(M6:M9)</f>
        <v>162784</v>
      </c>
      <c r="N10" s="78">
        <f>(M10-L10)/L10</f>
        <v>2.9229708967444566E-2</v>
      </c>
      <c r="O10" s="67">
        <f>SUM(O6:O9)</f>
        <v>153746</v>
      </c>
      <c r="P10" s="67">
        <f>SUM(P6:P9)</f>
        <v>168566</v>
      </c>
      <c r="Q10" s="78">
        <f>(P10-O10)/O10</f>
        <v>9.6392751681344549E-2</v>
      </c>
      <c r="R10" s="67">
        <f>SUM(R6:R9)</f>
        <v>140443</v>
      </c>
      <c r="S10" s="67">
        <f>SUM(S6:S9)</f>
        <v>206700</v>
      </c>
      <c r="T10" s="78">
        <f>(S10-R10)/R10</f>
        <v>0.47177146600400161</v>
      </c>
      <c r="U10" s="67">
        <f>SUM(U6:U9)</f>
        <v>155041</v>
      </c>
      <c r="V10" s="67">
        <f>SUM(V6:V9)</f>
        <v>173931</v>
      </c>
      <c r="W10" s="78">
        <f>(V10-U10)/U10</f>
        <v>0.12183873943021524</v>
      </c>
      <c r="X10" s="67">
        <f>SUM(X6:X9)</f>
        <v>133588</v>
      </c>
      <c r="Y10" s="67">
        <f>SUM(Y6:Y9)</f>
        <v>130239</v>
      </c>
      <c r="Z10" s="78">
        <f>(Y10-X10)/X10</f>
        <v>-2.5069617031469892E-2</v>
      </c>
      <c r="AA10" s="67">
        <f>SUM(AA6:AA9)</f>
        <v>136622</v>
      </c>
      <c r="AB10" s="67">
        <f>SUM(AB6:AB9)</f>
        <v>169618</v>
      </c>
      <c r="AC10" s="78">
        <f>(AB10-AA10)/AA10</f>
        <v>0.24151307988464524</v>
      </c>
      <c r="AD10" s="67">
        <f>SUM(AD6:AD9)</f>
        <v>153898</v>
      </c>
      <c r="AE10" s="67">
        <f>SUM(AE6:AE9)</f>
        <v>154673</v>
      </c>
      <c r="AF10" s="78">
        <f>(AE10-AD10)/AD10</f>
        <v>5.0358029344111039E-3</v>
      </c>
      <c r="AG10" s="187">
        <f>SUM(AG6:AG9)</f>
        <v>165850</v>
      </c>
      <c r="AH10" s="187">
        <f>SUM(AH6:AH9)</f>
        <v>169596</v>
      </c>
      <c r="AI10" s="78">
        <f>(AH10-AG10)/AG10</f>
        <v>2.2586674706059691E-2</v>
      </c>
      <c r="AJ10" s="187">
        <f>SUM(AJ6:AJ9)</f>
        <v>160547</v>
      </c>
      <c r="AK10" s="187">
        <f>SUM(AK6:AK9)</f>
        <v>159658</v>
      </c>
      <c r="AL10" s="78">
        <f>(AK10-AJ10)/AJ10</f>
        <v>-5.5373192896784121E-3</v>
      </c>
      <c r="AM10" s="67">
        <f t="shared" si="0"/>
        <v>1795134</v>
      </c>
      <c r="AN10" s="67">
        <f t="shared" si="0"/>
        <v>1905972</v>
      </c>
      <c r="AO10" s="73">
        <f>(AN10-AM10)/AM10</f>
        <v>6.1743580144991962E-2</v>
      </c>
      <c r="AQ10" s="64"/>
      <c r="AR10" s="79"/>
    </row>
    <row r="11" spans="2:44">
      <c r="C11" s="57"/>
      <c r="D11" s="56"/>
      <c r="E11" s="57"/>
      <c r="F11" s="57"/>
      <c r="G11" s="56"/>
      <c r="H11" s="57"/>
      <c r="I11" s="57"/>
      <c r="J11" s="56"/>
      <c r="K11" s="57"/>
      <c r="L11" s="57"/>
      <c r="M11" s="56"/>
      <c r="N11" s="57"/>
      <c r="O11" s="57"/>
      <c r="P11" s="56"/>
      <c r="Q11" s="57"/>
      <c r="R11" s="57"/>
      <c r="S11" s="56"/>
    </row>
    <row r="12" spans="2:44">
      <c r="B12" s="64" t="s">
        <v>60</v>
      </c>
      <c r="C12" s="86" t="s">
        <v>126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2:44">
      <c r="C13" s="86" t="s">
        <v>144</v>
      </c>
      <c r="Z13" s="80"/>
      <c r="AF13" s="80"/>
      <c r="AM13" s="184"/>
    </row>
    <row r="15" spans="2:44" ht="17.25" customHeight="1">
      <c r="Z15" s="81"/>
    </row>
    <row r="16" spans="2:44">
      <c r="Z16" s="81"/>
    </row>
    <row r="17" spans="26:26">
      <c r="Z17" s="81"/>
    </row>
    <row r="18" spans="26:26">
      <c r="Z18" s="81"/>
    </row>
    <row r="19" spans="26:26">
      <c r="Z19" s="81"/>
    </row>
    <row r="20" spans="26:26">
      <c r="Z20" s="81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hyperlinks>
    <hyperlink ref="C12" r:id="rId1" xr:uid="{D0EE260E-FCBB-4CD4-BB37-20AC85D8445E}"/>
    <hyperlink ref="C13" r:id="rId2" xr:uid="{9AA27D85-C8B6-437E-8E88-6264DE98F96F}"/>
  </hyperlinks>
  <pageMargins left="0.25" right="0.25" top="0.75" bottom="0.75" header="0.3" footer="0.3"/>
  <pageSetup paperSize="9" orientation="landscape" r:id="rId3"/>
  <ignoredErrors>
    <ignoredError sqref="C10:D10 F10:G10 I10:J10 L10:M10 O10:P10 R10:S10 U10:V10 X10:Y10 AA10:AB10 AD10:AE10 AG10:AH10 AJ10:AK10" formulaRange="1"/>
    <ignoredError sqref="E10 H10 K10 N10 Q10 T10 W10 Z10 AI10" formula="1"/>
    <ignoredError sqref="AC9 AC6:AC8 AF6:AF9" evalError="1"/>
    <ignoredError sqref="AC10 AF10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656DF-EB8C-47AD-B5F3-06B818568FC3}">
  <sheetPr>
    <pageSetUpPr fitToPage="1"/>
  </sheetPr>
  <dimension ref="A1:AN15"/>
  <sheetViews>
    <sheetView zoomScaleNormal="100" workbookViewId="0">
      <pane xSplit="1" topLeftCell="Y1" activePane="topRight" state="frozen"/>
      <selection pane="topRight" activeCell="AL12" sqref="AL12"/>
    </sheetView>
  </sheetViews>
  <sheetFormatPr baseColWidth="10" defaultColWidth="7.7109375" defaultRowHeight="15"/>
  <cols>
    <col min="1" max="1" width="16" style="25" customWidth="1"/>
    <col min="2" max="3" width="7.7109375" style="25"/>
    <col min="4" max="4" width="10.140625" style="38" customWidth="1"/>
    <col min="5" max="6" width="7.7109375" style="25"/>
    <col min="7" max="7" width="10.140625" style="38" customWidth="1"/>
    <col min="8" max="9" width="7.7109375" style="25"/>
    <col min="10" max="10" width="10.140625" style="38" customWidth="1"/>
    <col min="11" max="12" width="7.7109375" style="25"/>
    <col min="13" max="13" width="10.140625" style="38" customWidth="1"/>
    <col min="14" max="15" width="7.7109375" style="25"/>
    <col min="16" max="16" width="10.140625" style="38" customWidth="1"/>
    <col min="17" max="17" width="8.7109375" style="25" customWidth="1"/>
    <col min="18" max="18" width="7.7109375" style="25"/>
    <col min="19" max="19" width="10.140625" style="38" customWidth="1"/>
    <col min="20" max="21" width="7.7109375" style="25"/>
    <col min="22" max="22" width="10.140625" style="38" customWidth="1"/>
    <col min="23" max="23" width="10.140625" style="25" customWidth="1"/>
    <col min="24" max="24" width="9.7109375" style="25" customWidth="1"/>
    <col min="25" max="25" width="10.140625" style="38" customWidth="1"/>
    <col min="26" max="26" width="11.28515625" style="25" customWidth="1"/>
    <col min="27" max="27" width="11.42578125" style="25" customWidth="1"/>
    <col min="28" max="28" width="10.140625" style="38" customWidth="1"/>
    <col min="29" max="29" width="9.7109375" style="25" customWidth="1"/>
    <col min="30" max="30" width="10.42578125" style="25" customWidth="1"/>
    <col min="31" max="31" width="11.5703125" style="38" customWidth="1"/>
    <col min="32" max="32" width="11.42578125" style="25" customWidth="1"/>
    <col min="33" max="33" width="13" style="25" customWidth="1"/>
    <col min="34" max="34" width="10.85546875" style="25" customWidth="1"/>
    <col min="35" max="35" width="9.5703125" style="25" customWidth="1"/>
    <col min="36" max="36" width="10" style="25" customWidth="1"/>
    <col min="37" max="37" width="9.7109375" style="25" customWidth="1"/>
    <col min="38" max="38" width="8" style="37" bestFit="1" customWidth="1"/>
    <col min="39" max="39" width="10.42578125" style="37" customWidth="1"/>
    <col min="40" max="40" width="12" style="37" customWidth="1"/>
    <col min="41" max="16384" width="7.7109375" style="25"/>
  </cols>
  <sheetData>
    <row r="1" spans="1:40">
      <c r="A1" s="45" t="s">
        <v>31</v>
      </c>
      <c r="L1" s="10" t="s">
        <v>39</v>
      </c>
    </row>
    <row r="2" spans="1:40">
      <c r="A2" s="45"/>
      <c r="L2" s="10"/>
    </row>
    <row r="4" spans="1:40" ht="45">
      <c r="A4" s="11"/>
      <c r="B4" s="233" t="s">
        <v>8</v>
      </c>
      <c r="C4" s="233"/>
      <c r="D4" s="17" t="s">
        <v>30</v>
      </c>
      <c r="E4" s="233" t="s">
        <v>9</v>
      </c>
      <c r="F4" s="233"/>
      <c r="G4" s="17" t="s">
        <v>30</v>
      </c>
      <c r="H4" s="233" t="s">
        <v>10</v>
      </c>
      <c r="I4" s="233"/>
      <c r="J4" s="17" t="s">
        <v>30</v>
      </c>
      <c r="K4" s="233" t="s">
        <v>11</v>
      </c>
      <c r="L4" s="233"/>
      <c r="M4" s="17" t="s">
        <v>30</v>
      </c>
      <c r="N4" s="233" t="s">
        <v>0</v>
      </c>
      <c r="O4" s="233"/>
      <c r="P4" s="17" t="s">
        <v>30</v>
      </c>
      <c r="Q4" s="233" t="s">
        <v>1</v>
      </c>
      <c r="R4" s="233"/>
      <c r="S4" s="17" t="s">
        <v>30</v>
      </c>
      <c r="T4" s="233" t="s">
        <v>2</v>
      </c>
      <c r="U4" s="233"/>
      <c r="V4" s="17" t="s">
        <v>30</v>
      </c>
      <c r="W4" s="233" t="s">
        <v>12</v>
      </c>
      <c r="X4" s="233"/>
      <c r="Y4" s="17" t="s">
        <v>30</v>
      </c>
      <c r="Z4" s="233" t="s">
        <v>13</v>
      </c>
      <c r="AA4" s="233"/>
      <c r="AB4" s="17" t="s">
        <v>30</v>
      </c>
      <c r="AC4" s="233" t="s">
        <v>14</v>
      </c>
      <c r="AD4" s="233"/>
      <c r="AE4" s="17" t="s">
        <v>30</v>
      </c>
      <c r="AF4" s="233" t="s">
        <v>15</v>
      </c>
      <c r="AG4" s="233"/>
      <c r="AH4" s="17" t="s">
        <v>30</v>
      </c>
      <c r="AI4" s="233" t="s">
        <v>16</v>
      </c>
      <c r="AJ4" s="233"/>
      <c r="AK4" s="17" t="s">
        <v>30</v>
      </c>
      <c r="AL4" s="231" t="s">
        <v>29</v>
      </c>
      <c r="AM4" s="232"/>
      <c r="AN4" s="44" t="s">
        <v>28</v>
      </c>
    </row>
    <row r="5" spans="1:40">
      <c r="A5" s="11"/>
      <c r="B5" s="12">
        <v>2019</v>
      </c>
      <c r="C5" s="12">
        <v>2020</v>
      </c>
      <c r="D5" s="12" t="s">
        <v>34</v>
      </c>
      <c r="E5" s="12">
        <v>2019</v>
      </c>
      <c r="F5" s="12">
        <v>2020</v>
      </c>
      <c r="G5" s="12" t="s">
        <v>34</v>
      </c>
      <c r="H5" s="12">
        <v>2019</v>
      </c>
      <c r="I5" s="12">
        <v>2020</v>
      </c>
      <c r="J5" s="12" t="s">
        <v>34</v>
      </c>
      <c r="K5" s="12">
        <v>2019</v>
      </c>
      <c r="L5" s="12">
        <v>2020</v>
      </c>
      <c r="M5" s="12" t="s">
        <v>34</v>
      </c>
      <c r="N5" s="12">
        <v>2019</v>
      </c>
      <c r="O5" s="12">
        <v>2020</v>
      </c>
      <c r="P5" s="12" t="s">
        <v>34</v>
      </c>
      <c r="Q5" s="12">
        <v>2019</v>
      </c>
      <c r="R5" s="12">
        <v>2020</v>
      </c>
      <c r="S5" s="12" t="s">
        <v>34</v>
      </c>
      <c r="T5" s="12">
        <v>2019</v>
      </c>
      <c r="U5" s="12">
        <v>2020</v>
      </c>
      <c r="V5" s="12" t="s">
        <v>34</v>
      </c>
      <c r="W5" s="12">
        <v>2019</v>
      </c>
      <c r="X5" s="12">
        <v>2020</v>
      </c>
      <c r="Y5" s="12" t="s">
        <v>34</v>
      </c>
      <c r="Z5" s="12">
        <v>2019</v>
      </c>
      <c r="AA5" s="12">
        <v>2020</v>
      </c>
      <c r="AB5" s="12" t="s">
        <v>34</v>
      </c>
      <c r="AC5" s="12">
        <v>2019</v>
      </c>
      <c r="AD5" s="12">
        <v>2020</v>
      </c>
      <c r="AE5" s="12" t="s">
        <v>34</v>
      </c>
      <c r="AF5" s="12">
        <v>2019</v>
      </c>
      <c r="AG5" s="12">
        <v>2020</v>
      </c>
      <c r="AH5" s="12" t="s">
        <v>34</v>
      </c>
      <c r="AI5" s="12">
        <v>2019</v>
      </c>
      <c r="AJ5" s="12">
        <v>2020</v>
      </c>
      <c r="AK5" s="12" t="s">
        <v>34</v>
      </c>
      <c r="AL5" s="12">
        <v>2019</v>
      </c>
      <c r="AM5" s="12">
        <v>2020</v>
      </c>
      <c r="AN5" s="43"/>
    </row>
    <row r="6" spans="1:40" ht="15" customHeight="1">
      <c r="A6" s="115" t="s">
        <v>96</v>
      </c>
      <c r="B6" s="40">
        <v>23794</v>
      </c>
      <c r="C6" s="40">
        <v>19423</v>
      </c>
      <c r="D6" s="118">
        <f>(C6-B6)/B6</f>
        <v>-0.18370177355635875</v>
      </c>
      <c r="E6" s="40">
        <v>23869</v>
      </c>
      <c r="F6" s="40">
        <v>20513</v>
      </c>
      <c r="G6" s="118">
        <f>(F6-E6)/E6</f>
        <v>-0.14060077925342496</v>
      </c>
      <c r="H6" s="40">
        <v>24155</v>
      </c>
      <c r="I6" s="40">
        <v>13182</v>
      </c>
      <c r="J6" s="118">
        <f>(I6-H6)/H6</f>
        <v>-0.45427447733388532</v>
      </c>
      <c r="K6" s="40">
        <v>21399</v>
      </c>
      <c r="L6" s="40">
        <v>5572</v>
      </c>
      <c r="M6" s="118">
        <f>(L6-K6)/K6</f>
        <v>-0.73961400065423621</v>
      </c>
      <c r="N6" s="40">
        <v>20616</v>
      </c>
      <c r="O6" s="40">
        <v>16687</v>
      </c>
      <c r="P6" s="118">
        <f>(O6-N6)/N6</f>
        <v>-0.19058013193636011</v>
      </c>
      <c r="Q6" s="40">
        <v>29751</v>
      </c>
      <c r="R6" s="40">
        <v>16320</v>
      </c>
      <c r="S6" s="118">
        <f>(R6-Q6)/Q6</f>
        <v>-0.45144701018453159</v>
      </c>
      <c r="T6" s="66">
        <v>31522</v>
      </c>
      <c r="U6" s="66">
        <v>14543</v>
      </c>
      <c r="V6" s="118">
        <f>(U6-T6)/T6</f>
        <v>-0.53863968022333608</v>
      </c>
      <c r="W6" s="66">
        <v>28799</v>
      </c>
      <c r="X6" s="66">
        <v>19597</v>
      </c>
      <c r="Y6" s="118">
        <f>(X6-W6)/W6</f>
        <v>-0.31952498350637176</v>
      </c>
      <c r="Z6" s="66">
        <v>19263</v>
      </c>
      <c r="AA6" s="66">
        <v>25196</v>
      </c>
      <c r="AB6" s="118">
        <f>(AA6-Z6)/Z6</f>
        <v>0.30799979234802471</v>
      </c>
      <c r="AC6" s="66">
        <v>18258</v>
      </c>
      <c r="AD6" s="66">
        <v>23872</v>
      </c>
      <c r="AE6" s="118">
        <f>(AD6-AC6)/AC6</f>
        <v>0.30748165187862853</v>
      </c>
      <c r="AF6" s="40">
        <v>16764</v>
      </c>
      <c r="AG6" s="66">
        <v>21258</v>
      </c>
      <c r="AH6" s="118">
        <f>(AG6-AF6)/AF6</f>
        <v>0.26807444523979956</v>
      </c>
      <c r="AI6" s="66">
        <v>24109</v>
      </c>
      <c r="AJ6" s="66">
        <v>27275</v>
      </c>
      <c r="AK6" s="118">
        <f>(AJ6-AI6)/AI6</f>
        <v>0.13132025384711105</v>
      </c>
      <c r="AL6" s="67">
        <f t="shared" ref="AL6:AM10" si="0">B6+E6+H6+K6+N6+Q6+T6+W6+Z6+AC6+AF6+AI6</f>
        <v>282299</v>
      </c>
      <c r="AM6" s="67">
        <f t="shared" si="0"/>
        <v>223438</v>
      </c>
      <c r="AN6" s="42">
        <f>(AM6-AL6)/AL6</f>
        <v>-0.20850587497653197</v>
      </c>
    </row>
    <row r="7" spans="1:40">
      <c r="A7" s="116" t="s">
        <v>97</v>
      </c>
      <c r="B7" s="40">
        <v>6244</v>
      </c>
      <c r="C7" s="40">
        <v>6304</v>
      </c>
      <c r="D7" s="118">
        <f>(C7-B7)/B7</f>
        <v>9.6092248558616276E-3</v>
      </c>
      <c r="E7" s="40">
        <v>6535</v>
      </c>
      <c r="F7" s="40">
        <v>6678</v>
      </c>
      <c r="G7" s="118">
        <f>(F7-E7)/E7</f>
        <v>2.1882172915072686E-2</v>
      </c>
      <c r="H7" s="40">
        <v>9553</v>
      </c>
      <c r="I7" s="40">
        <v>5740</v>
      </c>
      <c r="J7" s="118">
        <f>(I7-H7)/H7</f>
        <v>-0.39914163090128757</v>
      </c>
      <c r="K7" s="40">
        <v>7070</v>
      </c>
      <c r="L7" s="40">
        <v>1940</v>
      </c>
      <c r="M7" s="118">
        <f>(L7-K7)/K7</f>
        <v>-0.72560113154172556</v>
      </c>
      <c r="N7" s="40">
        <v>7331</v>
      </c>
      <c r="O7" s="40">
        <v>3346</v>
      </c>
      <c r="P7" s="118">
        <f>(O7-N7)/N7</f>
        <v>-0.54358204883371986</v>
      </c>
      <c r="Q7" s="40">
        <v>6750</v>
      </c>
      <c r="R7" s="40">
        <v>7453</v>
      </c>
      <c r="S7" s="118">
        <f>(R7-Q7)/Q7</f>
        <v>0.10414814814814814</v>
      </c>
      <c r="T7" s="66">
        <v>7733</v>
      </c>
      <c r="U7" s="66">
        <v>7932</v>
      </c>
      <c r="V7" s="118">
        <f>(U7-T7)/T7</f>
        <v>2.5733867839130998E-2</v>
      </c>
      <c r="W7" s="66">
        <v>9222</v>
      </c>
      <c r="X7" s="66">
        <v>8749</v>
      </c>
      <c r="Y7" s="118">
        <f>(X7-W7)/W7</f>
        <v>-5.1290392539579267E-2</v>
      </c>
      <c r="Z7" s="66">
        <v>7613</v>
      </c>
      <c r="AA7" s="66">
        <v>9869</v>
      </c>
      <c r="AB7" s="118">
        <f>(AA7-Z7)/Z7</f>
        <v>0.2963352160777617</v>
      </c>
      <c r="AC7" s="66">
        <v>8946</v>
      </c>
      <c r="AD7" s="66">
        <v>9448</v>
      </c>
      <c r="AE7" s="118">
        <f>(AD7-AC7)/AC7</f>
        <v>5.611446456516879E-2</v>
      </c>
      <c r="AF7" s="40">
        <v>6136</v>
      </c>
      <c r="AG7" s="66">
        <v>10173</v>
      </c>
      <c r="AH7" s="118">
        <f>(AG7-AF7)/AF7</f>
        <v>0.65792046936114734</v>
      </c>
      <c r="AI7" s="66">
        <v>7042</v>
      </c>
      <c r="AJ7" s="66">
        <v>11719</v>
      </c>
      <c r="AK7" s="118">
        <f>(AJ7-AI7)/AI7</f>
        <v>0.66415790968474864</v>
      </c>
      <c r="AL7" s="67">
        <f t="shared" si="0"/>
        <v>90175</v>
      </c>
      <c r="AM7" s="67">
        <f t="shared" si="0"/>
        <v>89351</v>
      </c>
      <c r="AN7" s="42">
        <f>(AM7-AL7)/AL7</f>
        <v>-9.1377876351538666E-3</v>
      </c>
    </row>
    <row r="8" spans="1:40" s="64" customFormat="1">
      <c r="A8" s="116" t="s">
        <v>4</v>
      </c>
      <c r="B8" s="66"/>
      <c r="C8" s="66"/>
      <c r="D8" s="118"/>
      <c r="E8" s="66"/>
      <c r="F8" s="66"/>
      <c r="G8" s="118"/>
      <c r="H8" s="66"/>
      <c r="I8" s="66"/>
      <c r="J8" s="118"/>
      <c r="K8" s="66"/>
      <c r="L8" s="66"/>
      <c r="M8" s="118"/>
      <c r="N8" s="66"/>
      <c r="O8" s="66"/>
      <c r="P8" s="118"/>
      <c r="Q8" s="66"/>
      <c r="R8" s="66"/>
      <c r="S8" s="118"/>
      <c r="T8" s="66"/>
      <c r="U8" s="66"/>
      <c r="V8" s="118"/>
      <c r="W8" s="65"/>
      <c r="X8" s="65"/>
      <c r="Y8" s="119"/>
      <c r="Z8" s="66"/>
      <c r="AA8" s="66"/>
      <c r="AB8" s="118"/>
      <c r="AC8" s="66"/>
      <c r="AD8" s="66"/>
      <c r="AE8" s="118"/>
      <c r="AF8" s="66"/>
      <c r="AG8" s="65"/>
      <c r="AH8" s="62"/>
      <c r="AI8" s="65"/>
      <c r="AJ8" s="65"/>
      <c r="AK8" s="62"/>
      <c r="AL8" s="67">
        <f t="shared" si="0"/>
        <v>0</v>
      </c>
      <c r="AM8" s="67">
        <f t="shared" si="0"/>
        <v>0</v>
      </c>
      <c r="AN8" s="72"/>
    </row>
    <row r="9" spans="1:40" s="64" customFormat="1">
      <c r="A9" s="116" t="s">
        <v>100</v>
      </c>
      <c r="B9" s="66"/>
      <c r="C9" s="66"/>
      <c r="D9" s="118"/>
      <c r="E9" s="66"/>
      <c r="F9" s="66"/>
      <c r="G9" s="118"/>
      <c r="H9" s="66"/>
      <c r="I9" s="66"/>
      <c r="J9" s="118"/>
      <c r="K9" s="66"/>
      <c r="L9" s="66"/>
      <c r="M9" s="118"/>
      <c r="N9" s="66"/>
      <c r="O9" s="66"/>
      <c r="P9" s="118"/>
      <c r="Q9" s="66"/>
      <c r="R9" s="66"/>
      <c r="S9" s="118"/>
      <c r="T9" s="66"/>
      <c r="U9" s="66"/>
      <c r="V9" s="118"/>
      <c r="W9" s="65"/>
      <c r="X9" s="65"/>
      <c r="Y9" s="119"/>
      <c r="Z9" s="66"/>
      <c r="AA9" s="66"/>
      <c r="AB9" s="118"/>
      <c r="AC9" s="66"/>
      <c r="AD9" s="66"/>
      <c r="AE9" s="118"/>
      <c r="AF9" s="66"/>
      <c r="AG9" s="65"/>
      <c r="AH9" s="62"/>
      <c r="AI9" s="65"/>
      <c r="AJ9" s="65"/>
      <c r="AK9" s="62"/>
      <c r="AL9" s="67">
        <f t="shared" si="0"/>
        <v>0</v>
      </c>
      <c r="AM9" s="67">
        <f t="shared" si="0"/>
        <v>0</v>
      </c>
      <c r="AN9" s="72"/>
    </row>
    <row r="10" spans="1:40">
      <c r="A10" s="16" t="s">
        <v>7</v>
      </c>
      <c r="B10" s="16">
        <f>SUM(B6:B7)</f>
        <v>30038</v>
      </c>
      <c r="C10" s="16">
        <f>SUM(C6:C7)</f>
        <v>25727</v>
      </c>
      <c r="D10" s="118">
        <f>(C10-B10)/B10</f>
        <v>-0.14351821026699513</v>
      </c>
      <c r="E10" s="16">
        <f>SUM(E6:E7)</f>
        <v>30404</v>
      </c>
      <c r="F10" s="16">
        <f>SUM(F6:F7)</f>
        <v>27191</v>
      </c>
      <c r="G10" s="118">
        <f>(F10-E10)/E10</f>
        <v>-0.10567688462044468</v>
      </c>
      <c r="H10" s="16">
        <f>SUM(H6:H7)</f>
        <v>33708</v>
      </c>
      <c r="I10" s="16">
        <f>SUM(I6:I7)</f>
        <v>18922</v>
      </c>
      <c r="J10" s="118">
        <f>(I10-H10)/H10</f>
        <v>-0.43864957873501842</v>
      </c>
      <c r="K10" s="16">
        <f>SUM(K6:K7)</f>
        <v>28469</v>
      </c>
      <c r="L10" s="16">
        <f>SUM(L6:L7)</f>
        <v>7512</v>
      </c>
      <c r="M10" s="118">
        <f>(L10-K10)/K10</f>
        <v>-0.73613404053531917</v>
      </c>
      <c r="N10" s="16">
        <f>SUM(N6:N7)</f>
        <v>27947</v>
      </c>
      <c r="O10" s="16">
        <f>SUM(O6:O7)</f>
        <v>20033</v>
      </c>
      <c r="P10" s="118">
        <f>(O10-N10)/N10</f>
        <v>-0.28317887429777794</v>
      </c>
      <c r="Q10" s="16">
        <f>SUM(Q6:Q7)</f>
        <v>36501</v>
      </c>
      <c r="R10" s="16">
        <f>SUM(R6:R7)</f>
        <v>23773</v>
      </c>
      <c r="S10" s="118">
        <f>(R10-Q10)/Q10</f>
        <v>-0.34870277526643106</v>
      </c>
      <c r="T10" s="67">
        <f>SUM(T6:T7)</f>
        <v>39255</v>
      </c>
      <c r="U10" s="67">
        <f>SUM(U6:U7)</f>
        <v>22475</v>
      </c>
      <c r="V10" s="118">
        <f>(U10-T10)/T10</f>
        <v>-0.42746146987644884</v>
      </c>
      <c r="W10" s="67">
        <f>SUM(W6:W7)</f>
        <v>38021</v>
      </c>
      <c r="X10" s="67">
        <f>SUM(X6:X7)</f>
        <v>28346</v>
      </c>
      <c r="Y10" s="118">
        <f>(X10-W10)/W10</f>
        <v>-0.25446463796323082</v>
      </c>
      <c r="Z10" s="67">
        <f>SUM(Z6:Z7)</f>
        <v>26876</v>
      </c>
      <c r="AA10" s="67">
        <f>SUM(AA6:AA7)</f>
        <v>35065</v>
      </c>
      <c r="AB10" s="118">
        <f>(AA10-Z10)/Z10</f>
        <v>0.30469563923202858</v>
      </c>
      <c r="AC10" s="67">
        <f>SUM(AC6:AC7)</f>
        <v>27204</v>
      </c>
      <c r="AD10" s="67">
        <f>SUM(AD6:AD7)</f>
        <v>33320</v>
      </c>
      <c r="AE10" s="118">
        <f>(AD10-AC10)/AC10</f>
        <v>0.22481987942949566</v>
      </c>
      <c r="AF10" s="67">
        <f>SUM(AF6:AF7)</f>
        <v>22900</v>
      </c>
      <c r="AG10" s="67">
        <f>SUM(AG6:AG7)</f>
        <v>31431</v>
      </c>
      <c r="AH10" s="118">
        <f>(AG10-AF10)/AF10</f>
        <v>0.37253275109170303</v>
      </c>
      <c r="AI10" s="187">
        <f>SUM(AI6:AI7)</f>
        <v>31151</v>
      </c>
      <c r="AJ10" s="187">
        <f>SUM(AJ6:AJ7)</f>
        <v>38994</v>
      </c>
      <c r="AK10" s="118">
        <f>(AJ10-AI10)/AI10</f>
        <v>0.25177361882443583</v>
      </c>
      <c r="AL10" s="67">
        <f t="shared" si="0"/>
        <v>372474</v>
      </c>
      <c r="AM10" s="67">
        <f t="shared" si="0"/>
        <v>312789</v>
      </c>
      <c r="AN10" s="73">
        <f>(AM10-AL10)/AL10</f>
        <v>-0.16023937241257108</v>
      </c>
    </row>
    <row r="12" spans="1:40">
      <c r="A12" s="25" t="s">
        <v>38</v>
      </c>
      <c r="B12" s="86" t="s">
        <v>37</v>
      </c>
      <c r="AL12" s="206"/>
    </row>
    <row r="13" spans="1:40">
      <c r="Z13" s="36"/>
    </row>
    <row r="14" spans="1:40">
      <c r="B14" s="25" t="s">
        <v>98</v>
      </c>
    </row>
    <row r="15" spans="1:40">
      <c r="B15" s="25" t="s">
        <v>99</v>
      </c>
      <c r="Z15"/>
    </row>
  </sheetData>
  <mergeCells count="13">
    <mergeCell ref="Q4:R4"/>
    <mergeCell ref="B4:C4"/>
    <mergeCell ref="E4:F4"/>
    <mergeCell ref="H4:I4"/>
    <mergeCell ref="K4:L4"/>
    <mergeCell ref="N4:O4"/>
    <mergeCell ref="AL4:AM4"/>
    <mergeCell ref="T4:U4"/>
    <mergeCell ref="W4:X4"/>
    <mergeCell ref="Z4:AA4"/>
    <mergeCell ref="AC4:AD4"/>
    <mergeCell ref="AF4:AG4"/>
    <mergeCell ref="AI4:AJ4"/>
  </mergeCells>
  <hyperlinks>
    <hyperlink ref="B12" r:id="rId1" xr:uid="{754E381A-C1FC-4C06-8A00-B3D73235D2E9}"/>
  </hyperlinks>
  <pageMargins left="0.70866141732283472" right="0.70866141732283472" top="0.74803149606299213" bottom="0.74803149606299213" header="0.31496062992125984" footer="0.31496062992125984"/>
  <pageSetup paperSize="9" scale="37" orientation="landscape" r:id="rId2"/>
  <ignoredErrors>
    <ignoredError sqref="B10:C10 H10:I10 K10:L10 N10:O10 Q10:R10 T10:U10 W10:X10 Z10:AA10 AC10:AD10 AI10:AJ10" formulaRange="1"/>
    <ignoredError sqref="D10 G10 J10 M10 P10 S10 V10 Y10 AB10 AE10 AH10" formula="1"/>
    <ignoredError sqref="E10:F10 AF10:AG10" formula="1" formulaRange="1"/>
    <ignoredError sqref="AE7 AK6:AK7 AK10" evalErro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C1387-55D9-47F7-BE7F-0530ED4D9A31}">
  <dimension ref="A1:AR20"/>
  <sheetViews>
    <sheetView topLeftCell="B1" zoomScaleNormal="100" workbookViewId="0">
      <pane xSplit="1" topLeftCell="AE1" activePane="topRight" state="frozen"/>
      <selection activeCell="B1" sqref="B1"/>
      <selection pane="topRight" activeCell="AK16" sqref="AK16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3" width="8.7109375" style="25" customWidth="1"/>
    <col min="4" max="4" width="9" style="25" customWidth="1"/>
    <col min="5" max="5" width="11.5703125" style="25" customWidth="1"/>
    <col min="6" max="6" width="9.140625" style="25" customWidth="1"/>
    <col min="7" max="7" width="10.140625" style="25" customWidth="1"/>
    <col min="8" max="8" width="10.85546875" style="25" customWidth="1"/>
    <col min="9" max="9" width="9.7109375" style="25" customWidth="1"/>
    <col min="10" max="10" width="9.42578125" style="25" customWidth="1"/>
    <col min="11" max="12" width="10" style="25" customWidth="1"/>
    <col min="13" max="13" width="9.7109375" style="25" customWidth="1"/>
    <col min="14" max="14" width="11.140625" style="25" customWidth="1"/>
    <col min="15" max="15" width="8.85546875" style="25" customWidth="1"/>
    <col min="16" max="16" width="10.42578125" style="25" customWidth="1"/>
    <col min="17" max="17" width="10.140625" style="25" bestFit="1" customWidth="1"/>
    <col min="18" max="18" width="10.42578125" style="25" customWidth="1"/>
    <col min="19" max="19" width="11.42578125" style="25" customWidth="1"/>
    <col min="20" max="20" width="11.42578125" style="25"/>
    <col min="21" max="21" width="10.42578125" style="25" customWidth="1"/>
    <col min="22" max="22" width="10.5703125" style="25" customWidth="1"/>
    <col min="23" max="16384" width="11.42578125" style="25"/>
  </cols>
  <sheetData>
    <row r="1" spans="2:44">
      <c r="B1" s="10" t="s">
        <v>71</v>
      </c>
    </row>
    <row r="2" spans="2:44">
      <c r="B2" s="53"/>
      <c r="S2" s="27"/>
    </row>
    <row r="4" spans="2:44" ht="45" customHeight="1">
      <c r="B4" s="11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1" t="s">
        <v>29</v>
      </c>
      <c r="AN4" s="232"/>
      <c r="AO4" s="237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8" t="s">
        <v>34</v>
      </c>
      <c r="I5" s="12">
        <v>2019</v>
      </c>
      <c r="J5" s="12">
        <v>2020</v>
      </c>
      <c r="K5" s="28" t="s">
        <v>34</v>
      </c>
      <c r="L5" s="12">
        <v>2019</v>
      </c>
      <c r="M5" s="12">
        <v>2020</v>
      </c>
      <c r="N5" s="28" t="s">
        <v>34</v>
      </c>
      <c r="O5" s="12">
        <v>2019</v>
      </c>
      <c r="P5" s="12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2">
        <v>2019</v>
      </c>
      <c r="AN5" s="12">
        <v>2020</v>
      </c>
      <c r="AO5" s="238"/>
    </row>
    <row r="6" spans="2:44">
      <c r="B6" s="20" t="s">
        <v>6</v>
      </c>
      <c r="C6" s="40">
        <v>47164</v>
      </c>
      <c r="D6" s="40">
        <v>44303</v>
      </c>
      <c r="E6" s="62">
        <f>(D6-C6)/C6</f>
        <v>-6.0660673394962263E-2</v>
      </c>
      <c r="F6" s="40">
        <v>29780</v>
      </c>
      <c r="G6" s="40">
        <v>29868</v>
      </c>
      <c r="H6" s="62">
        <f>(G6-F6)/F6</f>
        <v>2.9550033579583612E-3</v>
      </c>
      <c r="I6" s="40">
        <v>38508</v>
      </c>
      <c r="J6" s="40">
        <v>29496</v>
      </c>
      <c r="K6" s="62">
        <f>(J6-I6)/I6</f>
        <v>-0.23402929261452166</v>
      </c>
      <c r="L6" s="40">
        <v>32701</v>
      </c>
      <c r="M6" s="40">
        <v>15373</v>
      </c>
      <c r="N6" s="62">
        <f>(M6-L6)/L6</f>
        <v>-0.52989205223081859</v>
      </c>
      <c r="O6" s="40">
        <v>36602</v>
      </c>
      <c r="P6" s="40">
        <v>14934</v>
      </c>
      <c r="Q6" s="62">
        <f>(P6-O6)/O6</f>
        <v>-0.59198950877001255</v>
      </c>
      <c r="R6" s="40">
        <v>41026</v>
      </c>
      <c r="S6" s="40">
        <v>24926</v>
      </c>
      <c r="T6" s="62">
        <f>(S6-R6)/R6</f>
        <v>-0.39243406620192073</v>
      </c>
      <c r="U6" s="40">
        <v>33540</v>
      </c>
      <c r="V6" s="66">
        <v>34885</v>
      </c>
      <c r="W6" s="62">
        <f>(V6-U6)/U6</f>
        <v>4.0101371496720335E-2</v>
      </c>
      <c r="X6" s="40">
        <v>33724</v>
      </c>
      <c r="Y6" s="66">
        <v>26461</v>
      </c>
      <c r="Z6" s="62">
        <f>(Y6-X6)/X6</f>
        <v>-0.21536591151702053</v>
      </c>
      <c r="AA6" s="40">
        <v>37706</v>
      </c>
      <c r="AB6" s="66">
        <v>29434</v>
      </c>
      <c r="AC6" s="62">
        <f>(AB6-AA6)/AA6</f>
        <v>-0.21938153079085557</v>
      </c>
      <c r="AD6" s="40">
        <v>33778</v>
      </c>
      <c r="AE6" s="66">
        <v>31988</v>
      </c>
      <c r="AF6" s="62">
        <f>(AE6-AD6)/AD6</f>
        <v>-5.2993072413997276E-2</v>
      </c>
      <c r="AG6" s="90">
        <v>39092</v>
      </c>
      <c r="AH6" s="66">
        <v>33499</v>
      </c>
      <c r="AI6" s="62">
        <f>(AH6-AG6)/AG6</f>
        <v>-0.14307275145809883</v>
      </c>
      <c r="AJ6" s="198">
        <v>42436</v>
      </c>
      <c r="AK6" s="90">
        <v>42829</v>
      </c>
      <c r="AL6" s="62">
        <f>(AK6-AJ6)/AJ6</f>
        <v>9.2610048072391364E-3</v>
      </c>
      <c r="AM6" s="67">
        <f t="shared" ref="AM6:AN10" si="0">C6+F6+I6+L6+O6+R6+U6+X6+AA6+AD6+AG6+AJ6</f>
        <v>446057</v>
      </c>
      <c r="AN6" s="67">
        <f t="shared" si="0"/>
        <v>357996</v>
      </c>
      <c r="AO6" s="42">
        <f>(AN6-AM6)/AM6</f>
        <v>-0.19742095741127255</v>
      </c>
    </row>
    <row r="7" spans="2:44">
      <c r="B7" s="20" t="s">
        <v>3</v>
      </c>
      <c r="C7" s="40">
        <v>9212</v>
      </c>
      <c r="D7" s="40">
        <v>7303</v>
      </c>
      <c r="E7" s="62">
        <f>(D7-C7)/C7</f>
        <v>-0.20722970039079461</v>
      </c>
      <c r="F7" s="40">
        <v>6540</v>
      </c>
      <c r="G7" s="40">
        <v>5679</v>
      </c>
      <c r="H7" s="62">
        <f>(G7-F7)/F7</f>
        <v>-0.13165137614678898</v>
      </c>
      <c r="I7" s="40">
        <v>7640</v>
      </c>
      <c r="J7" s="40">
        <v>6359</v>
      </c>
      <c r="K7" s="62">
        <f>(J7-I7)/I7</f>
        <v>-0.16767015706806282</v>
      </c>
      <c r="L7" s="40">
        <v>6283</v>
      </c>
      <c r="M7" s="27">
        <v>3978</v>
      </c>
      <c r="N7" s="62">
        <f>(M7-L7)/L7</f>
        <v>-0.36686296355244308</v>
      </c>
      <c r="O7" s="40">
        <v>6818</v>
      </c>
      <c r="P7" s="40">
        <v>3354</v>
      </c>
      <c r="Q7" s="62">
        <f>(P7-O7)/O7</f>
        <v>-0.50806688178351422</v>
      </c>
      <c r="R7" s="40">
        <v>7643</v>
      </c>
      <c r="S7" s="40">
        <v>4115</v>
      </c>
      <c r="T7" s="62">
        <f>(S7-R7)/R7</f>
        <v>-0.46159884861965195</v>
      </c>
      <c r="U7" s="40">
        <v>5728</v>
      </c>
      <c r="V7" s="66">
        <v>5129</v>
      </c>
      <c r="W7" s="62">
        <f>(V7-U7)/U7</f>
        <v>-0.10457402234636871</v>
      </c>
      <c r="X7" s="40">
        <v>5972</v>
      </c>
      <c r="Y7" s="66">
        <v>4919</v>
      </c>
      <c r="Z7" s="62">
        <f>(Y7-X7)/X7</f>
        <v>-0.17632283991962491</v>
      </c>
      <c r="AA7" s="66">
        <v>5189</v>
      </c>
      <c r="AB7" s="65">
        <v>5327</v>
      </c>
      <c r="AC7" s="62">
        <f>(AB7-AA7)/AA7</f>
        <v>2.6594719599152054E-2</v>
      </c>
      <c r="AD7" s="40">
        <v>5277</v>
      </c>
      <c r="AE7" s="66">
        <v>5432</v>
      </c>
      <c r="AF7" s="62">
        <f>(AE7-AD7)/AD7</f>
        <v>2.9372749668372181E-2</v>
      </c>
      <c r="AG7" s="90">
        <v>6047</v>
      </c>
      <c r="AH7" s="66">
        <v>5730</v>
      </c>
      <c r="AI7" s="62">
        <f>(AH7-AG7)/AG7</f>
        <v>-5.2422688936662805E-2</v>
      </c>
      <c r="AJ7" s="198">
        <v>3903</v>
      </c>
      <c r="AK7" s="90">
        <v>3572</v>
      </c>
      <c r="AL7" s="62">
        <f>(AK7-AJ7)/AJ7</f>
        <v>-8.4806559057135536E-2</v>
      </c>
      <c r="AM7" s="67">
        <f t="shared" si="0"/>
        <v>76252</v>
      </c>
      <c r="AN7" s="67">
        <f t="shared" si="0"/>
        <v>60897</v>
      </c>
      <c r="AO7" s="42">
        <f>(AN7-AM7)/AM7</f>
        <v>-0.20137176729790693</v>
      </c>
    </row>
    <row r="8" spans="2:44">
      <c r="B8" s="20" t="s">
        <v>4</v>
      </c>
      <c r="C8" s="40">
        <v>1975</v>
      </c>
      <c r="D8" s="40">
        <v>1535</v>
      </c>
      <c r="E8" s="62">
        <f>(D8-C8)/C8</f>
        <v>-0.22278481012658227</v>
      </c>
      <c r="F8" s="40">
        <v>1317</v>
      </c>
      <c r="G8" s="40">
        <v>1092</v>
      </c>
      <c r="H8" s="62">
        <f>(G8-F8)/F8</f>
        <v>-0.17084282460136674</v>
      </c>
      <c r="I8" s="40">
        <v>1546</v>
      </c>
      <c r="J8" s="40">
        <v>1214</v>
      </c>
      <c r="K8" s="62">
        <f>(J8-I8)/I8</f>
        <v>-0.2147477360931436</v>
      </c>
      <c r="L8" s="40">
        <v>1593</v>
      </c>
      <c r="M8" s="40">
        <v>807</v>
      </c>
      <c r="N8" s="62">
        <f>(M8-L8)/L8</f>
        <v>-0.49340866290018831</v>
      </c>
      <c r="O8" s="40">
        <v>1641</v>
      </c>
      <c r="P8" s="40">
        <v>601</v>
      </c>
      <c r="Q8" s="62">
        <f>(P8-O8)/O8</f>
        <v>-0.63375990249847658</v>
      </c>
      <c r="R8" s="40">
        <v>2177</v>
      </c>
      <c r="S8" s="11">
        <v>703</v>
      </c>
      <c r="T8" s="62">
        <f>(S8-R8)/R8</f>
        <v>-0.67707854846118509</v>
      </c>
      <c r="U8" s="40">
        <v>747</v>
      </c>
      <c r="V8" s="66">
        <v>734</v>
      </c>
      <c r="W8" s="62">
        <f>(V8-U8)/U8</f>
        <v>-1.7402945113788489E-2</v>
      </c>
      <c r="X8" s="40">
        <v>870</v>
      </c>
      <c r="Y8" s="66">
        <v>688</v>
      </c>
      <c r="Z8" s="62">
        <f>(Y8-X8)/X8</f>
        <v>-0.20919540229885059</v>
      </c>
      <c r="AA8" s="40">
        <v>915</v>
      </c>
      <c r="AB8" s="11">
        <v>851</v>
      </c>
      <c r="AC8" s="62">
        <f>(AB8-AA8)/AA8</f>
        <v>-6.9945355191256831E-2</v>
      </c>
      <c r="AD8" s="40">
        <v>1090</v>
      </c>
      <c r="AE8" s="66">
        <v>984</v>
      </c>
      <c r="AF8" s="62">
        <f>(AE8-AD8)/AD8</f>
        <v>-9.7247706422018354E-2</v>
      </c>
      <c r="AG8" s="90">
        <v>934</v>
      </c>
      <c r="AH8" s="66">
        <v>795</v>
      </c>
      <c r="AI8" s="62">
        <f>(AH8-AG8)/AG8</f>
        <v>-0.14882226980728053</v>
      </c>
      <c r="AJ8" s="198">
        <v>637</v>
      </c>
      <c r="AK8" s="90">
        <v>553</v>
      </c>
      <c r="AL8" s="62">
        <f>(AK8-AJ8)/AJ8</f>
        <v>-0.13186813186813187</v>
      </c>
      <c r="AM8" s="67">
        <f t="shared" si="0"/>
        <v>15442</v>
      </c>
      <c r="AN8" s="67">
        <f t="shared" si="0"/>
        <v>10557</v>
      </c>
      <c r="AO8" s="42">
        <f>(AN8-AM8)/AM8</f>
        <v>-0.31634503302681</v>
      </c>
    </row>
    <row r="9" spans="2:44">
      <c r="B9" s="20" t="s">
        <v>5</v>
      </c>
      <c r="C9" s="40">
        <v>79</v>
      </c>
      <c r="D9" s="40">
        <v>62</v>
      </c>
      <c r="E9" s="62">
        <f>(D9-C9)/C9</f>
        <v>-0.21518987341772153</v>
      </c>
      <c r="F9" s="40">
        <v>17</v>
      </c>
      <c r="G9" s="40">
        <v>104</v>
      </c>
      <c r="H9" s="62">
        <f>(G9-F9)/F9</f>
        <v>5.117647058823529</v>
      </c>
      <c r="I9" s="40">
        <v>75</v>
      </c>
      <c r="J9" s="40">
        <v>62</v>
      </c>
      <c r="K9" s="62">
        <f>(J9-I9)/I9</f>
        <v>-0.17333333333333334</v>
      </c>
      <c r="L9" s="40">
        <v>76</v>
      </c>
      <c r="M9" s="40">
        <v>23</v>
      </c>
      <c r="N9" s="62">
        <f>(M9-L9)/L9</f>
        <v>-0.69736842105263153</v>
      </c>
      <c r="O9" s="40">
        <v>56</v>
      </c>
      <c r="P9" s="40">
        <v>11</v>
      </c>
      <c r="Q9" s="62">
        <f>(P9-O9)/O9</f>
        <v>-0.8035714285714286</v>
      </c>
      <c r="R9" s="11">
        <v>98</v>
      </c>
      <c r="S9" s="11">
        <v>19</v>
      </c>
      <c r="T9" s="62">
        <f>(S9-R9)/R9</f>
        <v>-0.80612244897959184</v>
      </c>
      <c r="U9" s="11">
        <v>16</v>
      </c>
      <c r="V9" s="66">
        <v>6</v>
      </c>
      <c r="W9" s="62">
        <f>(V9-U9)/U9</f>
        <v>-0.625</v>
      </c>
      <c r="X9" s="40">
        <v>125</v>
      </c>
      <c r="Y9" s="66">
        <v>3</v>
      </c>
      <c r="Z9" s="62">
        <f>(Y9-X9)/X9</f>
        <v>-0.97599999999999998</v>
      </c>
      <c r="AA9" s="27">
        <v>16</v>
      </c>
      <c r="AB9" s="11">
        <v>41</v>
      </c>
      <c r="AC9" s="62">
        <f>(AB9-AA9)/AA9</f>
        <v>1.5625</v>
      </c>
      <c r="AD9" s="27">
        <v>110</v>
      </c>
      <c r="AE9" s="66">
        <v>162</v>
      </c>
      <c r="AF9" s="62">
        <f>(AE9-AD9)/AD9</f>
        <v>0.47272727272727272</v>
      </c>
      <c r="AG9" s="101">
        <v>209</v>
      </c>
      <c r="AH9" s="66">
        <v>12</v>
      </c>
      <c r="AI9" s="62">
        <f>(AH9-AG9)/AG9</f>
        <v>-0.9425837320574163</v>
      </c>
      <c r="AJ9" s="198">
        <v>111</v>
      </c>
      <c r="AK9" s="90">
        <v>256</v>
      </c>
      <c r="AL9" s="62">
        <f>(AK9-AJ9)/AJ9</f>
        <v>1.3063063063063063</v>
      </c>
      <c r="AM9" s="67">
        <f t="shared" si="0"/>
        <v>988</v>
      </c>
      <c r="AN9" s="67">
        <f t="shared" si="0"/>
        <v>761</v>
      </c>
      <c r="AO9" s="42">
        <f>(AN9-AM9)/AM9</f>
        <v>-0.22975708502024292</v>
      </c>
    </row>
    <row r="10" spans="2:44" s="10" customFormat="1">
      <c r="B10" s="47" t="s">
        <v>7</v>
      </c>
      <c r="C10" s="16">
        <f>SUM(C6:C9)</f>
        <v>58430</v>
      </c>
      <c r="D10" s="16">
        <f>SUM(D6:D9)</f>
        <v>53203</v>
      </c>
      <c r="E10" s="63">
        <f>(D10-C10)/C10</f>
        <v>-8.9457470477494444E-2</v>
      </c>
      <c r="F10" s="16">
        <f>SUM(F6:F9)</f>
        <v>37654</v>
      </c>
      <c r="G10" s="16">
        <f>SUM(G6:G9)</f>
        <v>36743</v>
      </c>
      <c r="H10" s="63">
        <f>(G10-F10)/F10</f>
        <v>-2.4193976735539385E-2</v>
      </c>
      <c r="I10" s="16">
        <f>SUM(I6:I9)</f>
        <v>47769</v>
      </c>
      <c r="J10" s="16">
        <f>SUM(J6:J9)</f>
        <v>37131</v>
      </c>
      <c r="K10" s="63">
        <f>(J10-I10)/I10</f>
        <v>-0.22269672800351692</v>
      </c>
      <c r="L10" s="67">
        <f>SUM(L6:L9)</f>
        <v>40653</v>
      </c>
      <c r="M10" s="16">
        <f>SUM(M6:M9)</f>
        <v>20181</v>
      </c>
      <c r="N10" s="63">
        <f>(M10-L10)/L10</f>
        <v>-0.50357907165522842</v>
      </c>
      <c r="O10" s="16">
        <f>SUM(O6:O9)</f>
        <v>45117</v>
      </c>
      <c r="P10" s="16">
        <f>SUM(P6:P9)</f>
        <v>18900</v>
      </c>
      <c r="Q10" s="63">
        <f>(P10-O10)/O10</f>
        <v>-0.58108916816277678</v>
      </c>
      <c r="R10" s="16">
        <f>SUM(R6:R9)</f>
        <v>50944</v>
      </c>
      <c r="S10" s="16">
        <f>SUM(S6:S9)</f>
        <v>29763</v>
      </c>
      <c r="T10" s="63">
        <f>(S10-R10)/R10</f>
        <v>-0.41577025753768843</v>
      </c>
      <c r="U10" s="16">
        <f>SUM(U6:U9)</f>
        <v>40031</v>
      </c>
      <c r="V10" s="67">
        <f>SUM(V6:V9)</f>
        <v>40754</v>
      </c>
      <c r="W10" s="63">
        <f>(V10-U10)/V10</f>
        <v>1.7740589880747903E-2</v>
      </c>
      <c r="X10" s="67">
        <f>SUM(X6:X9)</f>
        <v>40691</v>
      </c>
      <c r="Y10" s="67">
        <f>SUM(Y6:Y9)</f>
        <v>32071</v>
      </c>
      <c r="Z10" s="63">
        <f>(Y10-X10)/Y10</f>
        <v>-0.26877864737613422</v>
      </c>
      <c r="AA10" s="67">
        <f>SUM(AA6:AA9)</f>
        <v>43826</v>
      </c>
      <c r="AB10" s="67">
        <f>SUM(AB6:AB9)</f>
        <v>35653</v>
      </c>
      <c r="AC10" s="63">
        <f>(AB10-AA10)/AB10</f>
        <v>-0.22923737132920091</v>
      </c>
      <c r="AD10" s="67">
        <f>SUM(AD6:AD9)</f>
        <v>40255</v>
      </c>
      <c r="AE10" s="67">
        <f>SUM(AE6:AE9)</f>
        <v>38566</v>
      </c>
      <c r="AF10" s="63">
        <f>(AE10-AD10)/AE10</f>
        <v>-4.3795052637037805E-2</v>
      </c>
      <c r="AG10" s="187">
        <f>SUM(AG6:AG9)</f>
        <v>46282</v>
      </c>
      <c r="AH10" s="187">
        <f>SUM(AH6:AH9)</f>
        <v>40036</v>
      </c>
      <c r="AI10" s="63">
        <f>(AH10-AG10)/AH10</f>
        <v>-0.15600959136776901</v>
      </c>
      <c r="AJ10" s="187">
        <f>SUM(AJ6:AJ9)</f>
        <v>47087</v>
      </c>
      <c r="AK10" s="187">
        <f>SUM(AK6:AK9)</f>
        <v>47210</v>
      </c>
      <c r="AL10" s="63">
        <f>(AK10-AJ10)/AK10</f>
        <v>2.6053802160559206E-3</v>
      </c>
      <c r="AM10" s="67">
        <f t="shared" si="0"/>
        <v>538739</v>
      </c>
      <c r="AN10" s="67">
        <f t="shared" si="0"/>
        <v>430211</v>
      </c>
      <c r="AO10" s="39">
        <f>(AN10-AM10)/AM10</f>
        <v>-0.201448196622112</v>
      </c>
      <c r="AQ10" s="25"/>
      <c r="AR10" s="24"/>
    </row>
    <row r="12" spans="2:44">
      <c r="B12" s="25" t="s">
        <v>117</v>
      </c>
    </row>
    <row r="13" spans="2:44">
      <c r="B13" s="86" t="s">
        <v>113</v>
      </c>
      <c r="C13" s="26"/>
      <c r="D13" s="26"/>
      <c r="E13" s="26"/>
      <c r="F13" s="26"/>
      <c r="G13" s="26"/>
      <c r="AM13" s="184"/>
    </row>
    <row r="14" spans="2:44">
      <c r="W14" s="27"/>
      <c r="X14" s="27"/>
      <c r="Y14" s="27"/>
      <c r="Z14" s="27"/>
      <c r="AA14" s="81"/>
      <c r="AB14" s="81"/>
      <c r="AC14" s="81"/>
      <c r="AD14" s="81"/>
      <c r="AE14" s="81"/>
      <c r="AF14" s="27"/>
      <c r="AG14" s="27"/>
      <c r="AH14" s="27"/>
      <c r="AI14" s="27"/>
    </row>
    <row r="15" spans="2:44">
      <c r="C15" s="27"/>
      <c r="D15" s="27"/>
      <c r="E15" s="27"/>
      <c r="F15" s="27"/>
      <c r="G15" s="27"/>
      <c r="W15" s="27"/>
      <c r="X15" s="27"/>
      <c r="Y15" s="27"/>
      <c r="Z15" s="27"/>
      <c r="AA15" s="81"/>
      <c r="AB15" s="81"/>
      <c r="AC15" s="81"/>
      <c r="AD15" s="81"/>
      <c r="AE15" s="81"/>
      <c r="AF15" s="27"/>
      <c r="AG15" s="27"/>
      <c r="AH15" s="27"/>
      <c r="AI15" s="27"/>
    </row>
    <row r="16" spans="2:44">
      <c r="C16" s="27"/>
      <c r="D16" s="27"/>
      <c r="E16" s="27"/>
      <c r="F16" s="27"/>
      <c r="G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3:35">
      <c r="C17" s="27"/>
      <c r="D17" s="27"/>
      <c r="E17" s="27"/>
      <c r="F17" s="27"/>
      <c r="G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3:35">
      <c r="C18" s="27"/>
      <c r="D18" s="27"/>
      <c r="E18" s="27"/>
      <c r="F18" s="27"/>
      <c r="G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3:35">
      <c r="C19" s="27"/>
      <c r="D19" s="27"/>
      <c r="E19" s="27"/>
      <c r="F19" s="27"/>
      <c r="G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3:35">
      <c r="C20" s="27"/>
      <c r="D20" s="27"/>
      <c r="E20" s="27"/>
      <c r="F20" s="27"/>
      <c r="G20" s="27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B13" r:id="rId1" xr:uid="{01AE6901-2643-4EE5-91F0-55B8232B82F8}"/>
  </hyperlinks>
  <pageMargins left="0.7" right="0.7" top="0.78740157499999996" bottom="0.78740157499999996" header="0.3" footer="0.3"/>
  <pageSetup paperSize="9" orientation="portrait" verticalDpi="0" r:id="rId2"/>
  <ignoredErrors>
    <ignoredError sqref="C10:D10 F10:G10 I10:J10 L10:M10 O10:P10 R10:S10 U10:V10 X10:Y10 AA10:AB10 AD10:AE10 AG10:AH10 AJ10:AK10" formulaRange="1"/>
    <ignoredError sqref="E10 H10 K10 Q10" formula="1" formulaRange="1"/>
    <ignoredError sqref="Z8:Z9 AC8:AC9 AF7:AF9 AI6:AI9 AL6:AL9" evalError="1"/>
    <ignoredError sqref="T10 W10 AC10 AF10" formula="1"/>
    <ignoredError sqref="Z10 AI10" evalError="1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B660B-EFC2-4855-9548-629581D4996C}">
  <dimension ref="A1:AR36"/>
  <sheetViews>
    <sheetView topLeftCell="B1" zoomScaleNormal="100" workbookViewId="0">
      <pane xSplit="1" topLeftCell="AE1" activePane="topRight" state="frozen"/>
      <selection activeCell="B1" sqref="B1"/>
      <selection pane="topRight" activeCell="AM13" sqref="AM13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3" width="8.7109375" style="25" customWidth="1"/>
    <col min="4" max="4" width="9" style="25" customWidth="1"/>
    <col min="5" max="5" width="11.5703125" style="25" customWidth="1"/>
    <col min="6" max="6" width="9.140625" style="25" customWidth="1"/>
    <col min="7" max="7" width="10.140625" style="25" customWidth="1"/>
    <col min="8" max="8" width="10.85546875" style="25" customWidth="1"/>
    <col min="9" max="9" width="9.7109375" style="25" customWidth="1"/>
    <col min="10" max="10" width="9.42578125" style="25" customWidth="1"/>
    <col min="11" max="12" width="10" style="25" customWidth="1"/>
    <col min="13" max="13" width="9.7109375" style="25" customWidth="1"/>
    <col min="14" max="14" width="11.140625" style="25" customWidth="1"/>
    <col min="15" max="15" width="8.85546875" style="25" customWidth="1"/>
    <col min="16" max="16" width="10.42578125" style="25" customWidth="1"/>
    <col min="17" max="17" width="10.140625" style="25" bestFit="1" customWidth="1"/>
    <col min="18" max="18" width="10.42578125" style="25" customWidth="1"/>
    <col min="19" max="19" width="11.42578125" style="25" customWidth="1"/>
    <col min="20" max="20" width="11.42578125" style="25"/>
    <col min="21" max="21" width="10.42578125" style="25" customWidth="1"/>
    <col min="22" max="22" width="10.5703125" style="25" customWidth="1"/>
    <col min="23" max="28" width="11.42578125" style="25"/>
    <col min="29" max="29" width="9.85546875" style="25" bestFit="1" customWidth="1"/>
    <col min="30" max="16384" width="11.42578125" style="25"/>
  </cols>
  <sheetData>
    <row r="1" spans="2:44">
      <c r="B1" s="10" t="s">
        <v>72</v>
      </c>
    </row>
    <row r="2" spans="2:44">
      <c r="B2" s="53"/>
      <c r="S2" s="27"/>
    </row>
    <row r="4" spans="2:44" ht="45" customHeight="1">
      <c r="B4" s="11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1" t="s">
        <v>29</v>
      </c>
      <c r="AN4" s="232"/>
      <c r="AO4" s="237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8" t="s">
        <v>34</v>
      </c>
      <c r="I5" s="12">
        <v>2019</v>
      </c>
      <c r="J5" s="12">
        <v>2020</v>
      </c>
      <c r="K5" s="28" t="s">
        <v>34</v>
      </c>
      <c r="L5" s="12">
        <v>2019</v>
      </c>
      <c r="M5" s="12">
        <v>2020</v>
      </c>
      <c r="N5" s="28" t="s">
        <v>34</v>
      </c>
      <c r="O5" s="12">
        <v>2019</v>
      </c>
      <c r="P5" s="12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2">
        <v>2019</v>
      </c>
      <c r="AN5" s="12">
        <v>2020</v>
      </c>
      <c r="AO5" s="238"/>
    </row>
    <row r="6" spans="2:44">
      <c r="B6" s="20" t="s">
        <v>6</v>
      </c>
      <c r="C6" s="40">
        <v>9004</v>
      </c>
      <c r="D6" s="40">
        <v>9561</v>
      </c>
      <c r="E6" s="62">
        <f>(D6-C6)/C6</f>
        <v>6.1861394935584187E-2</v>
      </c>
      <c r="F6" s="40">
        <v>11106</v>
      </c>
      <c r="G6" s="40">
        <v>10346</v>
      </c>
      <c r="H6" s="62">
        <f>(G6-F6)/F6</f>
        <v>-6.8431478480100852E-2</v>
      </c>
      <c r="I6" s="40">
        <v>18375</v>
      </c>
      <c r="J6" s="40">
        <v>12451</v>
      </c>
      <c r="K6" s="62">
        <f>(J6-I6)/I6</f>
        <v>-0.32239455782312926</v>
      </c>
      <c r="L6" s="40">
        <v>11255</v>
      </c>
      <c r="M6" s="40">
        <v>7425</v>
      </c>
      <c r="N6" s="62">
        <f>(M6-L6)/L6</f>
        <v>-0.34029320302087962</v>
      </c>
      <c r="O6" s="40">
        <v>13117</v>
      </c>
      <c r="P6" s="40">
        <v>7998</v>
      </c>
      <c r="Q6" s="62">
        <f>(P6-O6)/O6</f>
        <v>-0.39025691850270638</v>
      </c>
      <c r="R6" s="40">
        <v>15352</v>
      </c>
      <c r="S6" s="40">
        <v>11443</v>
      </c>
      <c r="T6" s="62">
        <f>(S6-R6)/R6</f>
        <v>-0.25462480458572173</v>
      </c>
      <c r="U6" s="66">
        <v>9178</v>
      </c>
      <c r="V6" s="66">
        <v>9772</v>
      </c>
      <c r="W6" s="62">
        <f>(V6-U6)/U6</f>
        <v>6.4719982567008061E-2</v>
      </c>
      <c r="X6" s="66">
        <v>12073</v>
      </c>
      <c r="Y6" s="66">
        <v>10802</v>
      </c>
      <c r="Z6" s="62">
        <f>(Y6-X6)/X6</f>
        <v>-0.10527623622960325</v>
      </c>
      <c r="AA6" s="66">
        <v>11157</v>
      </c>
      <c r="AB6" s="66">
        <v>15552</v>
      </c>
      <c r="AC6" s="62">
        <f>(AB6-AA6)/AA6</f>
        <v>0.39392309760688354</v>
      </c>
      <c r="AD6" s="40">
        <v>10479</v>
      </c>
      <c r="AE6" s="66">
        <v>12948</v>
      </c>
      <c r="AF6" s="62">
        <f>(AE6-AD6)/AD6</f>
        <v>0.2356140853134841</v>
      </c>
      <c r="AG6" s="185">
        <v>10031</v>
      </c>
      <c r="AH6" s="185">
        <v>12533</v>
      </c>
      <c r="AI6" s="62">
        <f>(AH6-AG6)/AG6</f>
        <v>0.2494267769913269</v>
      </c>
      <c r="AJ6" s="185">
        <v>2837</v>
      </c>
      <c r="AK6" s="185">
        <v>3593</v>
      </c>
      <c r="AL6" s="62">
        <f>(AK6-AJ6)/AJ6</f>
        <v>0.26647867465632713</v>
      </c>
      <c r="AM6" s="67">
        <f t="shared" ref="AM6:AN10" si="0">C6+F6+I6+L6+O6+R6+U6+X6+AA6+AD6+AG6+AJ6</f>
        <v>133964</v>
      </c>
      <c r="AN6" s="67">
        <f t="shared" si="0"/>
        <v>124424</v>
      </c>
      <c r="AO6" s="42">
        <f>(AN6-AM6)/AM6</f>
        <v>-7.1213161744946407E-2</v>
      </c>
    </row>
    <row r="7" spans="2:44">
      <c r="B7" s="20" t="s">
        <v>3</v>
      </c>
      <c r="C7" s="40">
        <v>2705</v>
      </c>
      <c r="D7" s="40">
        <v>2716</v>
      </c>
      <c r="E7" s="62">
        <f>(D7-C7)/C7</f>
        <v>4.0665434380776338E-3</v>
      </c>
      <c r="F7" s="40">
        <v>2742</v>
      </c>
      <c r="G7" s="40">
        <v>2727</v>
      </c>
      <c r="H7" s="62">
        <f>(G7-F7)/F7</f>
        <v>-5.4704595185995622E-3</v>
      </c>
      <c r="I7" s="40">
        <v>3472</v>
      </c>
      <c r="J7" s="40">
        <v>2753</v>
      </c>
      <c r="K7" s="62">
        <f>(J7-I7)/I7</f>
        <v>-0.2070852534562212</v>
      </c>
      <c r="L7" s="40">
        <v>3543</v>
      </c>
      <c r="M7" s="27">
        <v>2150</v>
      </c>
      <c r="N7" s="62">
        <f>(M7-L7)/L7</f>
        <v>-0.39316963025684448</v>
      </c>
      <c r="O7" s="40">
        <v>3580</v>
      </c>
      <c r="P7" s="40">
        <v>2179</v>
      </c>
      <c r="Q7" s="62">
        <f>(P7-O7)/O7</f>
        <v>-0.39134078212290502</v>
      </c>
      <c r="R7" s="40">
        <v>3505</v>
      </c>
      <c r="S7" s="40">
        <v>2557</v>
      </c>
      <c r="T7" s="62">
        <f>(S7-R7)/R7</f>
        <v>-0.27047075606276749</v>
      </c>
      <c r="U7" s="66">
        <v>2665</v>
      </c>
      <c r="V7" s="81">
        <v>1744</v>
      </c>
      <c r="W7" s="62">
        <f>(V7-U7)/U7</f>
        <v>-0.34559099437148216</v>
      </c>
      <c r="X7" s="66">
        <v>4746</v>
      </c>
      <c r="Y7" s="66">
        <v>3022</v>
      </c>
      <c r="Z7" s="62">
        <f>(Y7-X7)/X7</f>
        <v>-0.36325326590813317</v>
      </c>
      <c r="AA7" s="66">
        <v>2658</v>
      </c>
      <c r="AB7" s="66">
        <v>3045</v>
      </c>
      <c r="AC7" s="62">
        <f>(AB7-AA7)/AA7</f>
        <v>0.14559819413092551</v>
      </c>
      <c r="AD7" s="40">
        <v>2729</v>
      </c>
      <c r="AE7" s="66">
        <v>2875</v>
      </c>
      <c r="AF7" s="62">
        <f>(AE7-AD7)/AD7</f>
        <v>5.3499450348112862E-2</v>
      </c>
      <c r="AG7" s="185">
        <v>2552</v>
      </c>
      <c r="AH7" s="185">
        <v>2746</v>
      </c>
      <c r="AI7" s="62">
        <f>(AH7-AG7)/AG7</f>
        <v>7.6018808777429461E-2</v>
      </c>
      <c r="AJ7" s="185">
        <v>260</v>
      </c>
      <c r="AK7" s="185">
        <v>258</v>
      </c>
      <c r="AL7" s="62">
        <f>(AK7-AJ7)/AJ7</f>
        <v>-7.6923076923076927E-3</v>
      </c>
      <c r="AM7" s="67">
        <f t="shared" si="0"/>
        <v>35157</v>
      </c>
      <c r="AN7" s="67">
        <f t="shared" si="0"/>
        <v>28772</v>
      </c>
      <c r="AO7" s="42">
        <f>(AN7-AM7)/AM7</f>
        <v>-0.18161390334783969</v>
      </c>
    </row>
    <row r="8" spans="2:44">
      <c r="B8" s="20" t="s">
        <v>4</v>
      </c>
      <c r="C8" s="40">
        <v>555</v>
      </c>
      <c r="D8" s="40">
        <v>571</v>
      </c>
      <c r="E8" s="62">
        <f>(D8-C8)/C8</f>
        <v>2.8828828828828829E-2</v>
      </c>
      <c r="F8" s="40">
        <v>478</v>
      </c>
      <c r="G8" s="40">
        <v>401</v>
      </c>
      <c r="H8" s="62">
        <f>(G8-F8)/F8</f>
        <v>-0.16108786610878661</v>
      </c>
      <c r="I8" s="40">
        <v>615</v>
      </c>
      <c r="J8" s="40">
        <v>472</v>
      </c>
      <c r="K8" s="62">
        <f>(J8-I8)/I8</f>
        <v>-0.23252032520325203</v>
      </c>
      <c r="L8" s="40">
        <v>705</v>
      </c>
      <c r="M8" s="40">
        <v>594</v>
      </c>
      <c r="N8" s="62">
        <f>(M8-L8)/L8</f>
        <v>-0.1574468085106383</v>
      </c>
      <c r="O8" s="40">
        <v>761</v>
      </c>
      <c r="P8" s="40">
        <v>613</v>
      </c>
      <c r="Q8" s="62">
        <f>(P8-O8)/O8</f>
        <v>-0.19448094612352168</v>
      </c>
      <c r="R8" s="40">
        <v>708</v>
      </c>
      <c r="S8" s="11">
        <v>635</v>
      </c>
      <c r="T8" s="62">
        <f>(S8-R8)/R8</f>
        <v>-0.10310734463276836</v>
      </c>
      <c r="U8" s="66">
        <v>557</v>
      </c>
      <c r="V8" s="66">
        <v>445</v>
      </c>
      <c r="W8" s="62">
        <f>(V8-U8)/U8</f>
        <v>-0.20107719928186715</v>
      </c>
      <c r="X8" s="66">
        <v>749</v>
      </c>
      <c r="Y8" s="66">
        <v>446</v>
      </c>
      <c r="Z8" s="62">
        <f>(Y8-X8)/X8</f>
        <v>-0.40453938584779708</v>
      </c>
      <c r="AA8" s="40">
        <v>633</v>
      </c>
      <c r="AB8" s="11">
        <v>504</v>
      </c>
      <c r="AC8" s="62">
        <f>(AB8-AA8)/AA8</f>
        <v>-0.20379146919431279</v>
      </c>
      <c r="AD8" s="40">
        <v>754</v>
      </c>
      <c r="AE8" s="66">
        <v>553</v>
      </c>
      <c r="AF8" s="62">
        <f>(AE8-AD8)/AD8</f>
        <v>-0.26657824933687002</v>
      </c>
      <c r="AG8" s="185">
        <v>553</v>
      </c>
      <c r="AH8" s="185">
        <v>438</v>
      </c>
      <c r="AI8" s="62">
        <f>(AH8-AG8)/AG8</f>
        <v>-0.20795660036166366</v>
      </c>
      <c r="AJ8" s="185">
        <v>343</v>
      </c>
      <c r="AK8" s="185">
        <v>321</v>
      </c>
      <c r="AL8" s="62">
        <f>(AK8-AJ8)/AJ8</f>
        <v>-6.4139941690962099E-2</v>
      </c>
      <c r="AM8" s="67">
        <f t="shared" si="0"/>
        <v>7411</v>
      </c>
      <c r="AN8" s="67">
        <f t="shared" si="0"/>
        <v>5993</v>
      </c>
      <c r="AO8" s="42">
        <f>(AN8-AM8)/AM8</f>
        <v>-0.19133720145729322</v>
      </c>
    </row>
    <row r="9" spans="2:44">
      <c r="B9" s="20" t="s">
        <v>5</v>
      </c>
      <c r="C9" s="40">
        <v>43</v>
      </c>
      <c r="D9" s="40">
        <v>97</v>
      </c>
      <c r="E9" s="62">
        <f>(D9-C9)/C9</f>
        <v>1.2558139534883721</v>
      </c>
      <c r="F9" s="40">
        <v>41</v>
      </c>
      <c r="G9" s="40">
        <v>22</v>
      </c>
      <c r="H9" s="62">
        <f>(G9-F9)/F9</f>
        <v>-0.46341463414634149</v>
      </c>
      <c r="I9" s="40">
        <v>69</v>
      </c>
      <c r="J9" s="40">
        <v>48</v>
      </c>
      <c r="K9" s="62">
        <f>(J9-I9)/I9</f>
        <v>-0.30434782608695654</v>
      </c>
      <c r="L9" s="40">
        <v>75</v>
      </c>
      <c r="M9" s="40">
        <v>114</v>
      </c>
      <c r="N9" s="62">
        <f>(M9-L9)/L9</f>
        <v>0.52</v>
      </c>
      <c r="O9" s="40">
        <v>198</v>
      </c>
      <c r="P9" s="40">
        <v>65</v>
      </c>
      <c r="Q9" s="62">
        <f>(P9-O9)/O9</f>
        <v>-0.67171717171717171</v>
      </c>
      <c r="R9" s="11">
        <v>695</v>
      </c>
      <c r="S9" s="11">
        <v>383</v>
      </c>
      <c r="T9" s="62">
        <f>(S9-R9)/R9</f>
        <v>-0.44892086330935249</v>
      </c>
      <c r="U9" s="66">
        <v>578</v>
      </c>
      <c r="V9" s="66">
        <v>46</v>
      </c>
      <c r="W9" s="62">
        <f>(V9-U9)/U9</f>
        <v>-0.92041522491349481</v>
      </c>
      <c r="X9" s="66">
        <v>229</v>
      </c>
      <c r="Y9" s="66">
        <v>56</v>
      </c>
      <c r="Z9" s="62">
        <f>(Y9-X9)/X9</f>
        <v>-0.75545851528384278</v>
      </c>
      <c r="AA9" s="27">
        <v>98</v>
      </c>
      <c r="AB9" s="11">
        <v>169</v>
      </c>
      <c r="AC9" s="62">
        <f>(AB9-AA9)/AA9</f>
        <v>0.72448979591836737</v>
      </c>
      <c r="AD9" s="27">
        <v>112</v>
      </c>
      <c r="AE9" s="66">
        <v>143</v>
      </c>
      <c r="AF9" s="62">
        <f>(AE9-AD9)/AD9</f>
        <v>0.2767857142857143</v>
      </c>
      <c r="AG9" s="185">
        <v>45</v>
      </c>
      <c r="AH9" s="161">
        <v>74</v>
      </c>
      <c r="AI9" s="62">
        <f>(AH9-AG9)/AG9</f>
        <v>0.64444444444444449</v>
      </c>
      <c r="AJ9" s="185">
        <v>115</v>
      </c>
      <c r="AK9" s="185">
        <v>157</v>
      </c>
      <c r="AL9" s="62">
        <f>(AK9-AJ9)/AJ9</f>
        <v>0.36521739130434783</v>
      </c>
      <c r="AM9" s="67">
        <f t="shared" si="0"/>
        <v>2298</v>
      </c>
      <c r="AN9" s="67">
        <f t="shared" si="0"/>
        <v>1374</v>
      </c>
      <c r="AO9" s="42">
        <f>(AN9-AM9)/AM9</f>
        <v>-0.40208877284595301</v>
      </c>
    </row>
    <row r="10" spans="2:44" s="10" customFormat="1">
      <c r="B10" s="47" t="s">
        <v>7</v>
      </c>
      <c r="C10" s="16">
        <f>SUM(C6:C9)</f>
        <v>12307</v>
      </c>
      <c r="D10" s="16">
        <f>SUM(D6:D9)</f>
        <v>12945</v>
      </c>
      <c r="E10" s="63">
        <f>(D10-C10)/C10</f>
        <v>5.1840416023401316E-2</v>
      </c>
      <c r="F10" s="16">
        <f>SUM(F6:F9)</f>
        <v>14367</v>
      </c>
      <c r="G10" s="16">
        <f>SUM(G6:G9)</f>
        <v>13496</v>
      </c>
      <c r="H10" s="63">
        <f>(G10-F10)/F10</f>
        <v>-6.0625043502470943E-2</v>
      </c>
      <c r="I10" s="16">
        <f>SUM(I6:I9)</f>
        <v>22531</v>
      </c>
      <c r="J10" s="16">
        <f>SUM(J6:J9)</f>
        <v>15724</v>
      </c>
      <c r="K10" s="63">
        <f>(J10-I10)/I10</f>
        <v>-0.30211708312990992</v>
      </c>
      <c r="L10" s="41">
        <f>SUM(L6:L9)</f>
        <v>15578</v>
      </c>
      <c r="M10" s="16">
        <f>SUM(M6:M9)</f>
        <v>10283</v>
      </c>
      <c r="N10" s="63">
        <f>(M10-L10)/L10</f>
        <v>-0.33990242649890873</v>
      </c>
      <c r="O10" s="16">
        <f>SUM(O6:O9)</f>
        <v>17656</v>
      </c>
      <c r="P10" s="16">
        <f>SUM(P6:P9)</f>
        <v>10855</v>
      </c>
      <c r="Q10" s="63">
        <f>(P10-O10)/O10</f>
        <v>-0.38519483461712734</v>
      </c>
      <c r="R10" s="16">
        <f>SUM(R6:R9)</f>
        <v>20260</v>
      </c>
      <c r="S10" s="16">
        <f>SUM(S6:S9)</f>
        <v>15018</v>
      </c>
      <c r="T10" s="63">
        <f>(S10-R10)/R10</f>
        <v>-0.25873642645607109</v>
      </c>
      <c r="U10" s="67">
        <f>SUM(U6:U9)</f>
        <v>12978</v>
      </c>
      <c r="V10" s="67">
        <f>SUM(V6:V9)</f>
        <v>12007</v>
      </c>
      <c r="W10" s="63">
        <f>(V10-U10)/U10</f>
        <v>-7.4818924333487441E-2</v>
      </c>
      <c r="X10" s="67">
        <f>SUM(X6:X9)</f>
        <v>17797</v>
      </c>
      <c r="Y10" s="16">
        <f>SUM(Y6:Y9)</f>
        <v>14326</v>
      </c>
      <c r="Z10" s="63">
        <f>(Y10-X10)/X10</f>
        <v>-0.19503287070854639</v>
      </c>
      <c r="AA10" s="67">
        <f>SUM(AA6:AA9)</f>
        <v>14546</v>
      </c>
      <c r="AB10" s="67">
        <f>SUM(AB6:AB9)</f>
        <v>19270</v>
      </c>
      <c r="AC10" s="63">
        <f>(AB10-AA10)/AA10</f>
        <v>0.32476282139419771</v>
      </c>
      <c r="AD10" s="67">
        <f>SUM(AD6:AD9)</f>
        <v>14074</v>
      </c>
      <c r="AE10" s="67">
        <f>SUM(AE6:AE9)</f>
        <v>16519</v>
      </c>
      <c r="AF10" s="63">
        <f>(AE10-AD10)/AD10</f>
        <v>0.17372459855051869</v>
      </c>
      <c r="AG10" s="187">
        <f>SUM(AG6:AG9)</f>
        <v>13181</v>
      </c>
      <c r="AH10" s="187">
        <f>SUM(AH6:AH9)</f>
        <v>15791</v>
      </c>
      <c r="AI10" s="63">
        <f>(AH10-AG10)/AG10</f>
        <v>0.19801229041802595</v>
      </c>
      <c r="AJ10" s="187">
        <f>SUM(AJ6:AJ9)</f>
        <v>3555</v>
      </c>
      <c r="AK10" s="187">
        <f>SUM(AK6:AK9)</f>
        <v>4329</v>
      </c>
      <c r="AL10" s="63">
        <f>(AK10-AJ10)/AJ10</f>
        <v>0.21772151898734177</v>
      </c>
      <c r="AM10" s="16">
        <f t="shared" si="0"/>
        <v>178830</v>
      </c>
      <c r="AN10" s="16">
        <f t="shared" si="0"/>
        <v>160563</v>
      </c>
      <c r="AO10" s="39">
        <f>(AN10-AM10)/AM10</f>
        <v>-0.10214729072303305</v>
      </c>
      <c r="AQ10" s="25"/>
      <c r="AR10" s="24"/>
    </row>
    <row r="11" spans="2:44">
      <c r="Z11" s="64"/>
      <c r="AA11" s="64"/>
      <c r="AB11" s="64"/>
      <c r="AC11" s="64"/>
    </row>
    <row r="12" spans="2:44">
      <c r="B12" s="25" t="s">
        <v>70</v>
      </c>
      <c r="Z12" s="64"/>
      <c r="AA12" s="64"/>
      <c r="AB12" s="64"/>
      <c r="AC12" s="64"/>
    </row>
    <row r="13" spans="2:44">
      <c r="B13" s="86" t="s">
        <v>127</v>
      </c>
      <c r="W13" s="26"/>
      <c r="X13" s="26"/>
      <c r="Y13" s="26"/>
      <c r="Z13" s="64"/>
      <c r="AA13" s="64"/>
      <c r="AB13" s="64"/>
      <c r="AC13" s="64"/>
      <c r="AD13" s="81"/>
      <c r="AE13" s="81"/>
      <c r="AF13" s="81"/>
      <c r="AG13" s="81"/>
      <c r="AH13" s="81"/>
      <c r="AI13" s="26"/>
      <c r="AJ13" s="195"/>
      <c r="AK13" s="195"/>
      <c r="AM13" s="184"/>
    </row>
    <row r="14" spans="2:44">
      <c r="C14" s="26"/>
      <c r="D14" s="26"/>
      <c r="E14" s="26"/>
      <c r="F14" s="26"/>
      <c r="G14" s="26"/>
      <c r="Z14" s="64"/>
      <c r="AA14" s="64"/>
      <c r="AB14" s="64"/>
      <c r="AC14" s="64"/>
      <c r="AD14" s="81"/>
      <c r="AE14" s="81"/>
      <c r="AF14" s="81"/>
      <c r="AG14" s="184"/>
      <c r="AH14" s="184"/>
      <c r="AI14" s="64"/>
      <c r="AJ14" s="64"/>
    </row>
    <row r="15" spans="2:44">
      <c r="W15" s="27"/>
      <c r="X15" s="27"/>
      <c r="Y15" s="27"/>
      <c r="Z15" s="64"/>
      <c r="AA15" s="64"/>
      <c r="AB15" s="64"/>
      <c r="AC15" s="64"/>
      <c r="AD15" s="81"/>
      <c r="AE15" s="81"/>
      <c r="AF15" s="81"/>
      <c r="AG15" s="184"/>
      <c r="AH15" s="184"/>
      <c r="AI15" s="184"/>
      <c r="AJ15" s="184"/>
      <c r="AK15" s="81"/>
      <c r="AL15" s="81"/>
      <c r="AM15" s="81"/>
      <c r="AN15" s="81"/>
      <c r="AO15" s="81"/>
    </row>
    <row r="16" spans="2:44">
      <c r="C16" s="27"/>
      <c r="D16" s="27"/>
      <c r="E16" s="27"/>
      <c r="F16" s="27"/>
      <c r="G16" s="27"/>
      <c r="W16" s="27"/>
      <c r="Z16" s="64"/>
      <c r="AA16" s="64"/>
      <c r="AB16" s="64"/>
      <c r="AC16" s="64"/>
      <c r="AD16" s="81"/>
      <c r="AE16" s="81"/>
      <c r="AF16" s="81"/>
      <c r="AG16" s="184"/>
      <c r="AH16" s="184"/>
      <c r="AI16" s="184"/>
      <c r="AJ16" s="184"/>
      <c r="AK16" s="81"/>
      <c r="AL16" s="81"/>
      <c r="AM16" s="81"/>
      <c r="AN16" s="81"/>
      <c r="AO16" s="81"/>
    </row>
    <row r="17" spans="3:41">
      <c r="C17" s="27"/>
      <c r="D17" s="27"/>
      <c r="E17" s="27"/>
      <c r="F17" s="27"/>
      <c r="G17" s="27"/>
      <c r="W17" s="27"/>
      <c r="Z17" s="64"/>
      <c r="AA17" s="64"/>
      <c r="AB17" s="64"/>
      <c r="AC17" s="64"/>
      <c r="AD17" s="81"/>
      <c r="AE17" s="81"/>
      <c r="AF17" s="81"/>
      <c r="AG17" s="184"/>
      <c r="AH17" s="184"/>
      <c r="AI17" s="184"/>
      <c r="AJ17" s="184"/>
      <c r="AK17" s="81"/>
      <c r="AL17" s="81"/>
      <c r="AM17" s="81"/>
      <c r="AN17" s="81"/>
      <c r="AO17" s="81"/>
    </row>
    <row r="18" spans="3:41">
      <c r="C18" s="27"/>
      <c r="D18" s="27"/>
      <c r="E18" s="27"/>
      <c r="F18" s="27"/>
      <c r="G18" s="27"/>
      <c r="W18" s="27"/>
      <c r="Z18" s="64"/>
      <c r="AA18" s="64"/>
      <c r="AB18" s="64"/>
      <c r="AC18" s="64"/>
      <c r="AD18" s="81"/>
      <c r="AE18" s="81"/>
      <c r="AF18" s="81"/>
      <c r="AG18" s="184"/>
      <c r="AH18" s="184"/>
      <c r="AI18" s="184"/>
      <c r="AJ18" s="184"/>
      <c r="AK18" s="81"/>
      <c r="AL18" s="81"/>
      <c r="AM18" s="81"/>
      <c r="AN18" s="81"/>
      <c r="AO18" s="81"/>
    </row>
    <row r="19" spans="3:41">
      <c r="C19" s="27"/>
      <c r="D19" s="27"/>
      <c r="E19" s="27"/>
      <c r="F19" s="27"/>
      <c r="G19" s="27"/>
      <c r="W19" s="27"/>
      <c r="Z19" s="64"/>
      <c r="AA19" s="64"/>
      <c r="AB19" s="64"/>
      <c r="AC19" s="64"/>
      <c r="AD19" s="81"/>
      <c r="AE19" s="81"/>
      <c r="AF19" s="81"/>
      <c r="AG19" s="184"/>
      <c r="AH19" s="184"/>
      <c r="AI19" s="184"/>
      <c r="AJ19" s="184"/>
      <c r="AK19" s="81"/>
      <c r="AL19" s="81"/>
      <c r="AM19" s="81"/>
      <c r="AN19" s="81"/>
      <c r="AO19" s="81"/>
    </row>
    <row r="20" spans="3:41">
      <c r="C20" s="27"/>
      <c r="D20" s="27"/>
      <c r="E20" s="27"/>
      <c r="F20" s="27"/>
      <c r="G20" s="27"/>
      <c r="W20" s="27"/>
      <c r="AD20" s="81"/>
      <c r="AE20" s="81"/>
      <c r="AF20" s="81"/>
      <c r="AG20" s="184"/>
      <c r="AH20" s="184"/>
      <c r="AI20" s="184"/>
      <c r="AJ20" s="184"/>
      <c r="AK20" s="81"/>
      <c r="AL20" s="64"/>
      <c r="AM20" s="81"/>
      <c r="AN20" s="81"/>
      <c r="AO20" s="64"/>
    </row>
    <row r="21" spans="3:41">
      <c r="C21" s="27"/>
      <c r="D21" s="27"/>
      <c r="E21" s="27"/>
      <c r="F21" s="27"/>
      <c r="G21" s="27"/>
      <c r="AD21" s="81"/>
      <c r="AE21" s="81"/>
      <c r="AF21" s="81"/>
      <c r="AG21" s="81"/>
      <c r="AJ21" s="81"/>
      <c r="AK21" s="81"/>
      <c r="AL21" s="64"/>
      <c r="AM21" s="81"/>
      <c r="AN21" s="81"/>
      <c r="AO21" s="64"/>
    </row>
    <row r="22" spans="3:41">
      <c r="AD22" s="81"/>
      <c r="AE22" s="81"/>
      <c r="AF22" s="81"/>
      <c r="AG22" s="81"/>
    </row>
    <row r="23" spans="3:41">
      <c r="AD23" s="81"/>
      <c r="AE23" s="81"/>
      <c r="AF23" s="81"/>
      <c r="AG23" s="81"/>
    </row>
    <row r="24" spans="3:41">
      <c r="AD24" s="81"/>
      <c r="AE24" s="81"/>
      <c r="AF24" s="81"/>
      <c r="AG24" s="81"/>
    </row>
    <row r="25" spans="3:41">
      <c r="AD25" s="81"/>
      <c r="AE25" s="81"/>
      <c r="AF25" s="81"/>
      <c r="AG25" s="81"/>
    </row>
    <row r="26" spans="3:41">
      <c r="AD26" s="81"/>
      <c r="AE26" s="81"/>
      <c r="AF26" s="81"/>
      <c r="AG26" s="81"/>
    </row>
    <row r="27" spans="3:41">
      <c r="AD27" s="81"/>
      <c r="AE27" s="81"/>
      <c r="AF27" s="81"/>
      <c r="AG27" s="81"/>
    </row>
    <row r="28" spans="3:41">
      <c r="AD28" s="81"/>
      <c r="AE28" s="81"/>
      <c r="AF28" s="81"/>
      <c r="AG28" s="81"/>
    </row>
    <row r="29" spans="3:41">
      <c r="AD29" s="81"/>
      <c r="AE29" s="81"/>
      <c r="AF29" s="81"/>
      <c r="AG29" s="81"/>
    </row>
    <row r="30" spans="3:41">
      <c r="AD30" s="81"/>
      <c r="AE30" s="81"/>
      <c r="AF30" s="81"/>
      <c r="AG30" s="81"/>
    </row>
    <row r="31" spans="3:41">
      <c r="AD31" s="81"/>
      <c r="AE31" s="81"/>
      <c r="AF31" s="81"/>
      <c r="AG31" s="81"/>
    </row>
    <row r="32" spans="3:41">
      <c r="AD32" s="81"/>
      <c r="AE32" s="81"/>
      <c r="AF32" s="81"/>
      <c r="AG32" s="81"/>
    </row>
    <row r="33" spans="30:33">
      <c r="AD33" s="81"/>
      <c r="AE33" s="81"/>
      <c r="AF33" s="81"/>
      <c r="AG33" s="81"/>
    </row>
    <row r="34" spans="30:33">
      <c r="AD34" s="81"/>
      <c r="AE34" s="81"/>
      <c r="AF34" s="81"/>
      <c r="AG34" s="81"/>
    </row>
    <row r="35" spans="30:33">
      <c r="AD35" s="81"/>
      <c r="AE35" s="81"/>
      <c r="AF35" s="81"/>
      <c r="AG35" s="81"/>
    </row>
    <row r="36" spans="30:33">
      <c r="AD36" s="81"/>
      <c r="AE36" s="81"/>
      <c r="AF36" s="81"/>
      <c r="AG36" s="81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B13" r:id="rId1" xr:uid="{B21206F8-1F2F-4B6A-9D94-2DFAC12E895F}"/>
  </hyperlinks>
  <pageMargins left="0.7" right="0.7" top="0.78740157499999996" bottom="0.78740157499999996" header="0.3" footer="0.3"/>
  <pageSetup paperSize="9" orientation="portrait" verticalDpi="0" r:id="rId2"/>
  <ignoredErrors>
    <ignoredError sqref="C10:D10 F10:G10 I10 J10 L10:M10 O10:P10 R10:S10 U10:V10 X10:Y10 AA10:AB10 AD10:AE10 AG10:AH10 AJ10:AK10" formulaRange="1"/>
    <ignoredError sqref="E10 H10 K10 N10 Q10" formula="1" formulaRange="1"/>
    <ignoredError sqref="T10 W10 Z10 AC10 AF10 AI10" formula="1"/>
    <ignoredError sqref="AI9" evalErro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7B057-8085-464B-BC48-6649F34A7072}">
  <dimension ref="A1:AR29"/>
  <sheetViews>
    <sheetView topLeftCell="B1" zoomScaleNormal="100" workbookViewId="0">
      <pane xSplit="1" topLeftCell="AE1" activePane="topRight" state="frozen"/>
      <selection activeCell="B1" sqref="B1"/>
      <selection pane="topRight" activeCell="AM13" sqref="AM13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3" width="7.5703125" style="25" bestFit="1" customWidth="1"/>
    <col min="4" max="4" width="10" style="25" customWidth="1"/>
    <col min="5" max="5" width="11.5703125" style="25" customWidth="1"/>
    <col min="6" max="6" width="7.5703125" style="25" bestFit="1" customWidth="1"/>
    <col min="7" max="7" width="11.7109375" style="25" customWidth="1"/>
    <col min="8" max="8" width="10.85546875" style="25" customWidth="1"/>
    <col min="9" max="9" width="9.7109375" style="25" customWidth="1"/>
    <col min="10" max="10" width="9.42578125" style="25" customWidth="1"/>
    <col min="11" max="12" width="10" style="25" customWidth="1"/>
    <col min="13" max="13" width="9.7109375" style="25" customWidth="1"/>
    <col min="14" max="14" width="11.140625" style="25" customWidth="1"/>
    <col min="15" max="15" width="8.85546875" style="25" customWidth="1"/>
    <col min="16" max="16" width="10.42578125" style="25" customWidth="1"/>
    <col min="17" max="17" width="9.85546875" style="25" bestFit="1" customWidth="1"/>
    <col min="18" max="18" width="10.5703125" style="25" customWidth="1"/>
    <col min="19" max="19" width="10.140625" style="25" customWidth="1"/>
    <col min="20" max="21" width="11.42578125" style="25"/>
    <col min="22" max="22" width="10.5703125" style="25" customWidth="1"/>
    <col min="23" max="16384" width="11.42578125" style="25"/>
  </cols>
  <sheetData>
    <row r="1" spans="2:44">
      <c r="B1" s="10" t="s">
        <v>20</v>
      </c>
    </row>
    <row r="2" spans="2:44">
      <c r="S2" s="27"/>
    </row>
    <row r="4" spans="2:44" ht="45" customHeight="1">
      <c r="B4" s="18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5" t="s">
        <v>29</v>
      </c>
      <c r="AN4" s="236"/>
      <c r="AO4" s="237" t="s">
        <v>28</v>
      </c>
    </row>
    <row r="5" spans="2:44" ht="15" customHeight="1">
      <c r="B5" s="1"/>
      <c r="C5" s="13">
        <v>2019</v>
      </c>
      <c r="D5" s="13">
        <v>2020</v>
      </c>
      <c r="E5" s="17" t="s">
        <v>34</v>
      </c>
      <c r="F5" s="13">
        <v>2019</v>
      </c>
      <c r="G5" s="13">
        <v>2020</v>
      </c>
      <c r="H5" s="28" t="s">
        <v>34</v>
      </c>
      <c r="I5" s="13">
        <v>2019</v>
      </c>
      <c r="J5" s="13">
        <v>2020</v>
      </c>
      <c r="K5" s="28" t="s">
        <v>34</v>
      </c>
      <c r="L5" s="13">
        <v>2019</v>
      </c>
      <c r="M5" s="13">
        <v>2020</v>
      </c>
      <c r="N5" s="28" t="s">
        <v>34</v>
      </c>
      <c r="O5" s="13">
        <v>2019</v>
      </c>
      <c r="P5" s="13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3">
        <v>2019</v>
      </c>
      <c r="AN5" s="13">
        <v>2020</v>
      </c>
      <c r="AO5" s="238"/>
    </row>
    <row r="6" spans="2:44">
      <c r="B6" s="19" t="s">
        <v>6</v>
      </c>
      <c r="C6" s="2">
        <v>15684</v>
      </c>
      <c r="D6" s="2">
        <v>14423</v>
      </c>
      <c r="E6" s="62">
        <f>(D6-C6)/C6</f>
        <v>-8.0400408059168579E-2</v>
      </c>
      <c r="F6" s="2">
        <v>18861</v>
      </c>
      <c r="G6" s="2">
        <v>20263</v>
      </c>
      <c r="H6" s="62">
        <f>(G6-F6)/F6</f>
        <v>7.4333280313875191E-2</v>
      </c>
      <c r="I6" s="2">
        <v>24900</v>
      </c>
      <c r="J6" s="2">
        <v>10596</v>
      </c>
      <c r="K6" s="62">
        <f>(J6-I6)/I6</f>
        <v>-0.57445783132530126</v>
      </c>
      <c r="L6" s="2">
        <v>21121</v>
      </c>
      <c r="M6" s="2">
        <v>2749</v>
      </c>
      <c r="N6" s="62">
        <f>(M6-L6)/L6</f>
        <v>-0.8698451777851427</v>
      </c>
      <c r="O6" s="2">
        <v>22724</v>
      </c>
      <c r="P6" s="2">
        <v>5741</v>
      </c>
      <c r="Q6" s="62">
        <f>(P6-O6)/O6</f>
        <v>-0.74735961978524912</v>
      </c>
      <c r="R6" s="60">
        <v>23305</v>
      </c>
      <c r="S6" s="66">
        <v>11076</v>
      </c>
      <c r="T6" s="62">
        <f>(S6-R6)/R6</f>
        <v>-0.52473718086247589</v>
      </c>
      <c r="U6" s="2">
        <v>18436</v>
      </c>
      <c r="V6" s="66">
        <v>15209</v>
      </c>
      <c r="W6" s="62">
        <f>(V6-U6)/U6</f>
        <v>-0.17503796919071382</v>
      </c>
      <c r="X6" s="2">
        <v>12435</v>
      </c>
      <c r="Y6" s="66">
        <v>12417</v>
      </c>
      <c r="Z6" s="62">
        <f>(Y6-X6)/X6</f>
        <v>-1.4475271411338963E-3</v>
      </c>
      <c r="AA6" s="2">
        <v>14558</v>
      </c>
      <c r="AB6" s="66">
        <v>13186</v>
      </c>
      <c r="AC6" s="62">
        <f>(AB6-AA6)/AA6</f>
        <v>-9.4243714795988462E-2</v>
      </c>
      <c r="AD6" s="2">
        <v>15649</v>
      </c>
      <c r="AE6" s="66">
        <v>13679</v>
      </c>
      <c r="AF6" s="62">
        <f>(AE6-AD6)/AD6</f>
        <v>-0.12588663812384177</v>
      </c>
      <c r="AG6" s="2">
        <v>16400</v>
      </c>
      <c r="AH6" s="66">
        <v>11826</v>
      </c>
      <c r="AI6" s="62">
        <f>(AH6-AG6)/AG6</f>
        <v>-0.27890243902439027</v>
      </c>
      <c r="AJ6" s="4">
        <v>17726</v>
      </c>
      <c r="AK6" s="66">
        <v>14252</v>
      </c>
      <c r="AL6" s="62">
        <f>(AK6-AJ6)/AJ6</f>
        <v>-0.19598330136522621</v>
      </c>
      <c r="AM6" s="3">
        <f t="shared" ref="AM6:AN10" si="0">C6+F6+I6+L6+O6+R6+U6+X6+AA6+AD6+AG6+AJ6</f>
        <v>221799</v>
      </c>
      <c r="AN6" s="3">
        <f t="shared" si="0"/>
        <v>145417</v>
      </c>
      <c r="AO6" s="14">
        <f>(AN6-AM6)/AM6</f>
        <v>-0.34437486192453526</v>
      </c>
    </row>
    <row r="7" spans="2:44">
      <c r="B7" s="19" t="s">
        <v>3</v>
      </c>
      <c r="C7" s="2">
        <v>2915</v>
      </c>
      <c r="D7" s="2">
        <v>2594</v>
      </c>
      <c r="E7" s="62">
        <f>(D7-C7)/C7</f>
        <v>-0.11012006861063464</v>
      </c>
      <c r="F7" s="2">
        <v>2621</v>
      </c>
      <c r="G7" s="2">
        <v>2482</v>
      </c>
      <c r="H7" s="62">
        <f>(G7-F7)/F7</f>
        <v>-5.3033193437619232E-2</v>
      </c>
      <c r="I7" s="2">
        <v>3190</v>
      </c>
      <c r="J7" s="2">
        <v>1556</v>
      </c>
      <c r="K7" s="62">
        <f>(J7-I7)/I7</f>
        <v>-0.51222570532915357</v>
      </c>
      <c r="L7" s="2">
        <v>3154</v>
      </c>
      <c r="M7" s="27">
        <v>948</v>
      </c>
      <c r="N7" s="62">
        <f>(M7-L7)/L7</f>
        <v>-0.69942929613189597</v>
      </c>
      <c r="O7" s="2">
        <v>3469</v>
      </c>
      <c r="P7" s="2">
        <v>1691</v>
      </c>
      <c r="Q7" s="62">
        <f>(P7-O7)/O7</f>
        <v>-0.51253963678293457</v>
      </c>
      <c r="R7" s="60">
        <v>3666</v>
      </c>
      <c r="S7" s="66">
        <v>2347</v>
      </c>
      <c r="T7" s="62">
        <f>(S7-R7)/R7</f>
        <v>-0.35979268957992361</v>
      </c>
      <c r="U7" s="2">
        <v>3138</v>
      </c>
      <c r="V7" s="66">
        <v>2529</v>
      </c>
      <c r="W7" s="62">
        <f>(V7-U7)/U7</f>
        <v>-0.19407265774378585</v>
      </c>
      <c r="X7" s="2">
        <v>3293</v>
      </c>
      <c r="Y7" s="66">
        <v>1960</v>
      </c>
      <c r="Z7" s="62">
        <f>(Y7-X7)/X7</f>
        <v>-0.40479805648344974</v>
      </c>
      <c r="AA7" s="2">
        <v>2710</v>
      </c>
      <c r="AB7" s="66">
        <v>2516</v>
      </c>
      <c r="AC7" s="62">
        <f>(AB7-AA7)/AA7</f>
        <v>-7.1586715867158673E-2</v>
      </c>
      <c r="AD7" s="2">
        <v>2917</v>
      </c>
      <c r="AE7" s="66">
        <v>2477</v>
      </c>
      <c r="AF7" s="62">
        <f>(AE7-AD7)/AD7</f>
        <v>-0.15083990401097017</v>
      </c>
      <c r="AG7" s="2">
        <v>2842</v>
      </c>
      <c r="AH7" s="66">
        <v>2801</v>
      </c>
      <c r="AI7" s="62">
        <f>(AH7-AG7)/AG7</f>
        <v>-1.4426460239268121E-2</v>
      </c>
      <c r="AJ7" s="4">
        <v>4539</v>
      </c>
      <c r="AK7" s="66">
        <v>3673</v>
      </c>
      <c r="AL7" s="62">
        <f>(AK7-AJ7)/AJ7</f>
        <v>-0.19079092311081736</v>
      </c>
      <c r="AM7" s="3">
        <f t="shared" si="0"/>
        <v>38454</v>
      </c>
      <c r="AN7" s="3">
        <f t="shared" si="0"/>
        <v>27574</v>
      </c>
      <c r="AO7" s="14">
        <f>(AN7-AM7)/AM7</f>
        <v>-0.28293545534924847</v>
      </c>
    </row>
    <row r="8" spans="2:44">
      <c r="B8" s="19" t="s">
        <v>4</v>
      </c>
      <c r="C8" s="2">
        <v>436</v>
      </c>
      <c r="D8" s="2">
        <v>385</v>
      </c>
      <c r="E8" s="62">
        <f>(D8-C8)/C8</f>
        <v>-0.11697247706422019</v>
      </c>
      <c r="F8" s="2">
        <v>382</v>
      </c>
      <c r="G8" s="2">
        <v>232</v>
      </c>
      <c r="H8" s="62">
        <f>(G8-F8)/F8</f>
        <v>-0.39267015706806285</v>
      </c>
      <c r="I8" s="2">
        <v>406</v>
      </c>
      <c r="J8" s="2">
        <v>210</v>
      </c>
      <c r="K8" s="62">
        <f>(J8-I8)/I8</f>
        <v>-0.48275862068965519</v>
      </c>
      <c r="L8" s="2">
        <v>345</v>
      </c>
      <c r="M8" s="2">
        <v>89</v>
      </c>
      <c r="N8" s="62">
        <f>(M8-L8)/L8</f>
        <v>-0.74202898550724639</v>
      </c>
      <c r="O8" s="2">
        <v>403</v>
      </c>
      <c r="P8" s="2">
        <v>135</v>
      </c>
      <c r="Q8" s="62">
        <f>(P8-O8)/O8</f>
        <v>-0.66501240694789077</v>
      </c>
      <c r="R8" s="60">
        <v>673</v>
      </c>
      <c r="S8" s="99">
        <v>227</v>
      </c>
      <c r="T8" s="62">
        <f>(S8-R8)/R8</f>
        <v>-0.66270430906389299</v>
      </c>
      <c r="U8" s="2">
        <v>193</v>
      </c>
      <c r="V8" s="66">
        <v>333</v>
      </c>
      <c r="W8" s="62">
        <f>(V8-U8)/U8</f>
        <v>0.72538860103626945</v>
      </c>
      <c r="X8" s="2">
        <v>282</v>
      </c>
      <c r="Y8" s="66">
        <v>274</v>
      </c>
      <c r="Z8" s="62">
        <f>(Y8-X8)/X8</f>
        <v>-2.8368794326241134E-2</v>
      </c>
      <c r="AA8" s="2">
        <v>734</v>
      </c>
      <c r="AB8" s="66">
        <v>674</v>
      </c>
      <c r="AC8" s="62">
        <f>(AB8-AA8)/AA8</f>
        <v>-8.1743869209809264E-2</v>
      </c>
      <c r="AD8" s="2">
        <v>436</v>
      </c>
      <c r="AE8" s="66">
        <v>367</v>
      </c>
      <c r="AF8" s="62">
        <f>(AE8-AD8)/AD8</f>
        <v>-0.15825688073394495</v>
      </c>
      <c r="AG8" s="2">
        <v>270</v>
      </c>
      <c r="AH8" s="66">
        <v>322</v>
      </c>
      <c r="AI8" s="62">
        <f>(AH8-AG8)/AG8</f>
        <v>0.19259259259259259</v>
      </c>
      <c r="AJ8" s="4">
        <v>413</v>
      </c>
      <c r="AK8" s="66">
        <v>336</v>
      </c>
      <c r="AL8" s="62">
        <f>(AK8-AJ8)/AJ8</f>
        <v>-0.1864406779661017</v>
      </c>
      <c r="AM8" s="3">
        <f t="shared" si="0"/>
        <v>4973</v>
      </c>
      <c r="AN8" s="3">
        <f t="shared" si="0"/>
        <v>3584</v>
      </c>
      <c r="AO8" s="14">
        <f>(AN8-AM8)/AM8</f>
        <v>-0.27930826462899661</v>
      </c>
    </row>
    <row r="9" spans="2:44">
      <c r="B9" s="20" t="s">
        <v>5</v>
      </c>
      <c r="C9" s="27">
        <v>90</v>
      </c>
      <c r="D9" s="2">
        <v>101</v>
      </c>
      <c r="E9" s="62">
        <f>(D9-C9)/C9</f>
        <v>0.12222222222222222</v>
      </c>
      <c r="F9" s="2">
        <v>83</v>
      </c>
      <c r="G9" s="2">
        <v>59</v>
      </c>
      <c r="H9" s="62">
        <f>(G9-F9)/F9</f>
        <v>-0.28915662650602408</v>
      </c>
      <c r="I9" s="2">
        <v>55</v>
      </c>
      <c r="J9" s="2">
        <v>36</v>
      </c>
      <c r="K9" s="62">
        <f>(J9-I9)/I9</f>
        <v>-0.34545454545454546</v>
      </c>
      <c r="L9" s="2">
        <v>43</v>
      </c>
      <c r="M9" s="2">
        <v>16</v>
      </c>
      <c r="N9" s="62">
        <f>(M9-L9)/L9</f>
        <v>-0.62790697674418605</v>
      </c>
      <c r="O9" s="2">
        <v>62</v>
      </c>
      <c r="P9" s="2">
        <v>12</v>
      </c>
      <c r="Q9" s="62">
        <f>(P9-O9)/O9</f>
        <v>-0.80645161290322576</v>
      </c>
      <c r="R9" s="110">
        <v>99</v>
      </c>
      <c r="S9" s="99">
        <v>28</v>
      </c>
      <c r="T9" s="62">
        <f>(S9-R9)/R9</f>
        <v>-0.71717171717171713</v>
      </c>
      <c r="U9" s="1">
        <v>24</v>
      </c>
      <c r="V9" s="66">
        <v>30</v>
      </c>
      <c r="W9" s="62">
        <f>(V9-U9)/U9</f>
        <v>0.25</v>
      </c>
      <c r="X9" s="2">
        <v>25</v>
      </c>
      <c r="Y9" s="66">
        <v>11</v>
      </c>
      <c r="Z9" s="62">
        <f>(Y9-X9)/X9</f>
        <v>-0.56000000000000005</v>
      </c>
      <c r="AA9" s="27">
        <v>34</v>
      </c>
      <c r="AB9" s="66">
        <v>28</v>
      </c>
      <c r="AC9" s="62">
        <f>(AB9-AA9)/AA9</f>
        <v>-0.17647058823529413</v>
      </c>
      <c r="AD9" s="27">
        <v>45</v>
      </c>
      <c r="AE9" s="66">
        <v>42</v>
      </c>
      <c r="AF9" s="62">
        <f>(AE9-AD9)/AD9</f>
        <v>-6.6666666666666666E-2</v>
      </c>
      <c r="AG9" s="27">
        <v>21</v>
      </c>
      <c r="AH9" s="11">
        <v>20</v>
      </c>
      <c r="AI9" s="62">
        <f>(AH9-AG9)/AG9</f>
        <v>-4.7619047619047616E-2</v>
      </c>
      <c r="AJ9" s="4">
        <v>20</v>
      </c>
      <c r="AK9" s="66">
        <v>29</v>
      </c>
      <c r="AL9" s="62">
        <f>(AK9-AJ9)/AJ9</f>
        <v>0.45</v>
      </c>
      <c r="AM9" s="3">
        <f t="shared" si="0"/>
        <v>601</v>
      </c>
      <c r="AN9" s="3">
        <f t="shared" si="0"/>
        <v>412</v>
      </c>
      <c r="AO9" s="14">
        <f>(AN9-AM9)/AM9</f>
        <v>-0.31447587354409318</v>
      </c>
    </row>
    <row r="10" spans="2:44" s="10" customFormat="1">
      <c r="B10" s="22" t="s">
        <v>7</v>
      </c>
      <c r="C10" s="3">
        <f>SUM(C6:C9)</f>
        <v>19125</v>
      </c>
      <c r="D10" s="3">
        <f>SUM(D6:D9)</f>
        <v>17503</v>
      </c>
      <c r="E10" s="63">
        <f>(D10-C10)/C10</f>
        <v>-8.4810457516339866E-2</v>
      </c>
      <c r="F10" s="3">
        <f>SUM(F6:F9)</f>
        <v>21947</v>
      </c>
      <c r="G10" s="3">
        <f>SUM(G6:G9)</f>
        <v>23036</v>
      </c>
      <c r="H10" s="63">
        <f>(G10-F10)/F10</f>
        <v>4.9619537977855746E-2</v>
      </c>
      <c r="I10" s="3">
        <f>SUM(I6:I9)</f>
        <v>28551</v>
      </c>
      <c r="J10" s="3">
        <f>SUM(J6:J9)</f>
        <v>12398</v>
      </c>
      <c r="K10" s="63">
        <f>(J10-I10)/I10</f>
        <v>-0.56575951805540958</v>
      </c>
      <c r="L10" s="3">
        <f>SUM(L6:L9)</f>
        <v>24663</v>
      </c>
      <c r="M10" s="3">
        <f>SUM(M6:M9)</f>
        <v>3802</v>
      </c>
      <c r="N10" s="63">
        <f>(M10-L10)/L10</f>
        <v>-0.84584194947897662</v>
      </c>
      <c r="O10" s="3">
        <f>SUM(O6:O9)</f>
        <v>26658</v>
      </c>
      <c r="P10" s="3">
        <f>SUM(P6:P9)</f>
        <v>7579</v>
      </c>
      <c r="Q10" s="63">
        <f>(P10-O10)/O10</f>
        <v>-0.71569510090779498</v>
      </c>
      <c r="R10" s="3">
        <f>SUM(R6:R9)</f>
        <v>27743</v>
      </c>
      <c r="S10" s="3">
        <f>SUM(S6:S9)</f>
        <v>13678</v>
      </c>
      <c r="T10" s="63">
        <f>(S10-R10)/R10</f>
        <v>-0.50697473236492085</v>
      </c>
      <c r="U10" s="3">
        <f t="shared" ref="U10:AK10" si="1">SUM(U6:U9)</f>
        <v>21791</v>
      </c>
      <c r="V10" s="3">
        <f t="shared" si="1"/>
        <v>18101</v>
      </c>
      <c r="W10" s="63">
        <f>(V10-U10)/U10</f>
        <v>-0.16933596438896792</v>
      </c>
      <c r="X10" s="3">
        <f t="shared" si="1"/>
        <v>16035</v>
      </c>
      <c r="Y10" s="3">
        <f t="shared" si="1"/>
        <v>14662</v>
      </c>
      <c r="Z10" s="63">
        <f>(Y10-X10)/X10</f>
        <v>-8.5625194886186473E-2</v>
      </c>
      <c r="AA10" s="3">
        <f t="shared" si="1"/>
        <v>18036</v>
      </c>
      <c r="AB10" s="3">
        <f t="shared" si="1"/>
        <v>16404</v>
      </c>
      <c r="AC10" s="63">
        <f>(AB10-AA10)/AA10</f>
        <v>-9.0485695276114442E-2</v>
      </c>
      <c r="AD10" s="3">
        <f t="shared" si="1"/>
        <v>19047</v>
      </c>
      <c r="AE10" s="3">
        <f t="shared" si="1"/>
        <v>16565</v>
      </c>
      <c r="AF10" s="63">
        <f>(AE10-AD10)/AD10</f>
        <v>-0.13030923505013914</v>
      </c>
      <c r="AG10" s="3">
        <f t="shared" si="1"/>
        <v>19533</v>
      </c>
      <c r="AH10" s="3">
        <f t="shared" si="1"/>
        <v>14969</v>
      </c>
      <c r="AI10" s="63">
        <f>(AH10-AG10)/AG10</f>
        <v>-0.23365586443454667</v>
      </c>
      <c r="AJ10" s="3">
        <f t="shared" si="1"/>
        <v>22698</v>
      </c>
      <c r="AK10" s="3">
        <f t="shared" si="1"/>
        <v>18290</v>
      </c>
      <c r="AL10" s="63">
        <f>(AK10-AJ10)/AJ10</f>
        <v>-0.19420213234646225</v>
      </c>
      <c r="AM10" s="3">
        <f t="shared" si="0"/>
        <v>265827</v>
      </c>
      <c r="AN10" s="3">
        <f t="shared" si="0"/>
        <v>176987</v>
      </c>
      <c r="AO10" s="15">
        <f>(AN10-AM10)/AM10</f>
        <v>-0.33420231955369467</v>
      </c>
      <c r="AQ10" s="25"/>
      <c r="AR10" s="24"/>
    </row>
    <row r="12" spans="2:44">
      <c r="B12" s="25" t="s">
        <v>32</v>
      </c>
      <c r="C12" s="86" t="s">
        <v>129</v>
      </c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</row>
    <row r="13" spans="2:44"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26"/>
      <c r="AI13" s="26"/>
      <c r="AM13" s="184"/>
    </row>
    <row r="14" spans="2:44">
      <c r="C14" s="26"/>
      <c r="D14" s="26"/>
      <c r="E14" s="26"/>
      <c r="F14" s="26"/>
      <c r="G14" s="26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</row>
    <row r="15" spans="2:44"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27"/>
      <c r="AI15" s="27"/>
    </row>
    <row r="16" spans="2:44">
      <c r="C16" s="27"/>
      <c r="D16" s="27"/>
      <c r="E16" s="27"/>
      <c r="F16" s="27"/>
      <c r="G16" s="27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27"/>
      <c r="AI16" s="27"/>
    </row>
    <row r="17" spans="3:35">
      <c r="C17" s="27"/>
      <c r="D17" s="27"/>
      <c r="E17" s="27"/>
      <c r="F17" s="27"/>
      <c r="G17" s="27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27"/>
      <c r="AI17" s="27"/>
    </row>
    <row r="18" spans="3:35">
      <c r="C18" s="27"/>
      <c r="D18" s="27"/>
      <c r="E18" s="27"/>
      <c r="F18" s="27"/>
      <c r="G18" s="27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27"/>
      <c r="AI18" s="27"/>
    </row>
    <row r="19" spans="3:35">
      <c r="C19" s="27"/>
      <c r="D19" s="27"/>
      <c r="E19" s="27"/>
      <c r="F19" s="27"/>
      <c r="G19" s="27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27"/>
      <c r="AI19" s="27"/>
    </row>
    <row r="20" spans="3:35">
      <c r="C20" s="27"/>
      <c r="D20" s="27"/>
      <c r="E20" s="27"/>
      <c r="F20" s="27"/>
      <c r="G20" s="27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27"/>
      <c r="AI20" s="27"/>
    </row>
    <row r="21" spans="3:35">
      <c r="C21" s="27"/>
      <c r="D21" s="27"/>
      <c r="E21" s="27"/>
      <c r="F21" s="27"/>
      <c r="G21" s="27"/>
      <c r="Z21" s="64"/>
      <c r="AA21" s="64"/>
      <c r="AB21" s="64"/>
      <c r="AC21" s="64"/>
      <c r="AD21" s="64"/>
      <c r="AE21" s="64"/>
      <c r="AF21" s="64"/>
      <c r="AG21" s="64"/>
    </row>
    <row r="22" spans="3:35">
      <c r="Z22" s="64"/>
      <c r="AA22" s="64"/>
      <c r="AB22" s="64"/>
      <c r="AC22" s="64"/>
      <c r="AD22" s="64"/>
      <c r="AE22" s="64"/>
      <c r="AF22" s="64"/>
      <c r="AG22" s="64"/>
    </row>
    <row r="23" spans="3:35">
      <c r="Z23" s="64"/>
      <c r="AA23" s="64"/>
      <c r="AB23" s="64"/>
      <c r="AC23" s="64"/>
      <c r="AD23" s="64"/>
      <c r="AE23" s="64"/>
      <c r="AF23" s="64"/>
      <c r="AG23" s="64"/>
    </row>
    <row r="24" spans="3:35">
      <c r="Z24" s="64"/>
      <c r="AA24" s="64"/>
      <c r="AB24" s="64"/>
      <c r="AC24" s="64"/>
      <c r="AD24" s="64"/>
      <c r="AE24" s="64"/>
      <c r="AF24" s="64"/>
      <c r="AG24" s="64"/>
    </row>
    <row r="25" spans="3:35">
      <c r="Z25" s="64"/>
      <c r="AA25" s="64"/>
      <c r="AB25" s="64"/>
      <c r="AC25" s="64"/>
      <c r="AD25" s="64"/>
      <c r="AE25" s="64"/>
      <c r="AF25" s="64"/>
      <c r="AG25" s="64"/>
    </row>
    <row r="26" spans="3:35">
      <c r="Z26" s="64"/>
      <c r="AA26" s="64"/>
      <c r="AB26" s="64"/>
      <c r="AC26" s="64"/>
      <c r="AD26" s="64"/>
      <c r="AE26" s="64"/>
      <c r="AF26" s="64"/>
      <c r="AG26" s="64"/>
    </row>
    <row r="27" spans="3:35">
      <c r="Z27" s="64"/>
      <c r="AA27" s="64"/>
      <c r="AB27" s="64"/>
      <c r="AC27" s="64"/>
      <c r="AD27" s="64"/>
      <c r="AE27" s="64"/>
      <c r="AF27" s="64"/>
      <c r="AG27" s="64"/>
    </row>
    <row r="28" spans="3:35">
      <c r="Z28" s="64"/>
      <c r="AA28" s="64"/>
      <c r="AB28" s="64"/>
      <c r="AC28" s="64"/>
      <c r="AD28" s="64"/>
      <c r="AE28" s="64"/>
      <c r="AF28" s="64"/>
      <c r="AG28" s="64"/>
    </row>
    <row r="29" spans="3:35">
      <c r="Z29" s="165"/>
      <c r="AA29" s="64"/>
      <c r="AB29" s="64"/>
      <c r="AC29" s="64"/>
      <c r="AD29" s="64"/>
      <c r="AE29" s="64"/>
      <c r="AF29" s="64"/>
      <c r="AG29" s="64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hyperlinks>
    <hyperlink ref="C12" r:id="rId1" xr:uid="{6E9536C8-BB18-46B4-BDB0-1D3B9C6E6EF5}"/>
  </hyperlinks>
  <pageMargins left="0.7" right="0.7" top="0.78740157499999996" bottom="0.78740157499999996" header="0.3" footer="0.3"/>
  <pageSetup paperSize="9" orientation="portrait" verticalDpi="0" r:id="rId2"/>
  <ignoredErrors>
    <ignoredError sqref="C10:D10 R10:S10 U10:V10 X10:Y10 AA10:AB10 AD10:AE10 AG10:AH10 AJ10:AK10" formulaRange="1"/>
    <ignoredError sqref="E10 T10 W10 Z10 AC10 AF10 AI10" formula="1"/>
    <ignoredError sqref="F10 G10:Q10" formula="1" formulaRange="1"/>
    <ignoredError sqref="AC7:AC9 AL7:AL9" evalErro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1F12-7C19-49AE-8BD9-BA13C6DAC219}">
  <dimension ref="A1:DD25"/>
  <sheetViews>
    <sheetView topLeftCell="B1" zoomScale="93" zoomScaleNormal="93" workbookViewId="0">
      <pane xSplit="1" topLeftCell="C1" activePane="topRight" state="frozen"/>
      <selection activeCell="K29" sqref="K29"/>
      <selection pane="topRight" activeCell="B2" sqref="B2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3" width="10.140625" style="25" customWidth="1"/>
    <col min="4" max="4" width="11.85546875" style="25" customWidth="1"/>
    <col min="5" max="5" width="11.5703125" style="25" customWidth="1"/>
    <col min="6" max="6" width="9.5703125" style="25" customWidth="1"/>
    <col min="7" max="7" width="12.28515625" style="25" customWidth="1"/>
    <col min="8" max="8" width="10.85546875" style="25" customWidth="1"/>
    <col min="9" max="9" width="10.42578125" style="25" customWidth="1"/>
    <col min="10" max="11" width="10" style="25" customWidth="1"/>
    <col min="12" max="12" width="9.42578125" style="25" customWidth="1"/>
    <col min="13" max="13" width="10.28515625" style="25" customWidth="1"/>
    <col min="14" max="14" width="11.140625" style="25" customWidth="1"/>
    <col min="15" max="15" width="11" style="25" customWidth="1"/>
    <col min="16" max="16" width="11.5703125" style="25" customWidth="1"/>
    <col min="17" max="17" width="9.85546875" style="25" bestFit="1" customWidth="1"/>
    <col min="18" max="18" width="9.5703125" style="25" customWidth="1"/>
    <col min="19" max="19" width="10" style="25" customWidth="1"/>
    <col min="20" max="21" width="11.42578125" style="25"/>
    <col min="22" max="22" width="10.5703125" style="25" customWidth="1"/>
    <col min="23" max="16384" width="11.42578125" style="25"/>
  </cols>
  <sheetData>
    <row r="1" spans="2:108">
      <c r="B1" s="10" t="s">
        <v>21</v>
      </c>
    </row>
    <row r="2" spans="2:108">
      <c r="S2" s="27"/>
    </row>
    <row r="4" spans="2:108" ht="45" customHeight="1">
      <c r="B4" s="18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1" t="s">
        <v>0</v>
      </c>
      <c r="P4" s="234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5" t="s">
        <v>29</v>
      </c>
      <c r="AN4" s="236"/>
      <c r="AO4" s="237" t="s">
        <v>28</v>
      </c>
    </row>
    <row r="5" spans="2:108" ht="15" customHeight="1">
      <c r="B5" s="1"/>
      <c r="C5" s="13">
        <v>2019</v>
      </c>
      <c r="D5" s="13">
        <v>2020</v>
      </c>
      <c r="E5" s="17" t="s">
        <v>34</v>
      </c>
      <c r="F5" s="13">
        <v>2019</v>
      </c>
      <c r="G5" s="13">
        <v>2020</v>
      </c>
      <c r="H5" s="28" t="s">
        <v>34</v>
      </c>
      <c r="I5" s="13">
        <v>2019</v>
      </c>
      <c r="J5" s="13">
        <v>2020</v>
      </c>
      <c r="K5" s="28" t="s">
        <v>34</v>
      </c>
      <c r="L5" s="13">
        <v>2019</v>
      </c>
      <c r="M5" s="13">
        <v>2020</v>
      </c>
      <c r="N5" s="28" t="s">
        <v>34</v>
      </c>
      <c r="O5" s="13">
        <v>2019</v>
      </c>
      <c r="P5" s="13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3">
        <v>2019</v>
      </c>
      <c r="AN5" s="13">
        <v>2020</v>
      </c>
      <c r="AO5" s="238"/>
    </row>
    <row r="6" spans="2:108" s="97" customFormat="1">
      <c r="B6" s="104" t="s">
        <v>6</v>
      </c>
      <c r="C6" s="89">
        <v>13831</v>
      </c>
      <c r="D6" s="103">
        <v>12368</v>
      </c>
      <c r="E6" s="91">
        <f>(D6-C6)/C6</f>
        <v>-0.10577687802761912</v>
      </c>
      <c r="F6" s="89">
        <v>11927</v>
      </c>
      <c r="G6" s="102">
        <v>8688</v>
      </c>
      <c r="H6" s="91">
        <f>(G6-F6)/F6</f>
        <v>-0.27156870965037311</v>
      </c>
      <c r="I6" s="89">
        <v>9699</v>
      </c>
      <c r="J6" s="102">
        <v>6532</v>
      </c>
      <c r="K6" s="91">
        <f>(J6-I6)/I6</f>
        <v>-0.32652850809361789</v>
      </c>
      <c r="L6" s="60">
        <v>8521</v>
      </c>
      <c r="M6" s="60">
        <v>4265</v>
      </c>
      <c r="N6" s="91">
        <f>(M6-L6)/L6</f>
        <v>-0.49947189297030864</v>
      </c>
      <c r="O6" s="60">
        <v>12855</v>
      </c>
      <c r="P6" s="60">
        <v>7067</v>
      </c>
      <c r="Q6" s="91">
        <f>(P6-O6)/O6</f>
        <v>-0.45025281991443017</v>
      </c>
      <c r="R6" s="60">
        <v>13877</v>
      </c>
      <c r="S6" s="90">
        <v>10060</v>
      </c>
      <c r="T6" s="91">
        <f>(S6-R6)/R6</f>
        <v>-0.27505945088996181</v>
      </c>
      <c r="U6" s="60">
        <v>15050</v>
      </c>
      <c r="V6" s="90">
        <v>12816</v>
      </c>
      <c r="W6" s="91">
        <f>(V6-U6)/U6</f>
        <v>-0.14843853820598008</v>
      </c>
      <c r="X6" s="60">
        <v>22952</v>
      </c>
      <c r="Y6" s="90">
        <v>11055</v>
      </c>
      <c r="Z6" s="91">
        <f>(Y6-X6)/X6</f>
        <v>-0.51834262809341236</v>
      </c>
      <c r="AA6" s="60">
        <v>16253</v>
      </c>
      <c r="AB6" s="90">
        <v>10778</v>
      </c>
      <c r="AC6" s="91">
        <f>(AB6-AA6)/AA6</f>
        <v>-0.33686088722082075</v>
      </c>
      <c r="AD6" s="60">
        <v>10649</v>
      </c>
      <c r="AE6" s="90">
        <v>12523</v>
      </c>
      <c r="AF6" s="91">
        <f>(AE6-AD6)/AD6</f>
        <v>0.175978965161048</v>
      </c>
      <c r="AG6" s="60">
        <v>13091</v>
      </c>
      <c r="AH6" s="90">
        <v>13253</v>
      </c>
      <c r="AI6" s="91">
        <f>(AH6-AG6)/AG6</f>
        <v>1.2374914063096784E-2</v>
      </c>
      <c r="AJ6" s="107">
        <v>13097</v>
      </c>
      <c r="AK6" s="90">
        <v>15814</v>
      </c>
      <c r="AL6" s="91">
        <f>(AK6-AJ6)/AJ6</f>
        <v>0.20745208826448805</v>
      </c>
      <c r="AM6" s="100">
        <f>C6+F6+I6+L6+O6+R6+U6+X6+AA6+AD6+AG6+AJ6</f>
        <v>161802</v>
      </c>
      <c r="AN6" s="100">
        <f>D6+G6+J6+M6+P6+S6+V6+Y6+AB6+AE6+AH6+AK6</f>
        <v>125219</v>
      </c>
      <c r="AO6" s="108">
        <f>(AN6-AM6)/AM6</f>
        <v>-0.22609732883400699</v>
      </c>
      <c r="AP6" s="109">
        <v>148711</v>
      </c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</row>
    <row r="7" spans="2:108" s="97" customFormat="1">
      <c r="B7" s="104" t="s">
        <v>3</v>
      </c>
      <c r="C7" s="89">
        <v>2024</v>
      </c>
      <c r="D7" s="59">
        <v>1549</v>
      </c>
      <c r="E7" s="91">
        <f>(D7-C7)/C7</f>
        <v>-0.23468379446640317</v>
      </c>
      <c r="F7" s="89">
        <v>1641</v>
      </c>
      <c r="G7" s="89">
        <v>1442</v>
      </c>
      <c r="H7" s="91">
        <f>(G7-F7)/F7</f>
        <v>-0.12126751980499695</v>
      </c>
      <c r="I7" s="89">
        <v>1615</v>
      </c>
      <c r="J7" s="89">
        <v>1199</v>
      </c>
      <c r="K7" s="91">
        <f>(J7-I7)/I7</f>
        <v>-0.25758513931888544</v>
      </c>
      <c r="L7" s="60">
        <v>1794</v>
      </c>
      <c r="M7" s="101">
        <v>756</v>
      </c>
      <c r="N7" s="91">
        <f>(M7-L7)/L7</f>
        <v>-0.57859531772575246</v>
      </c>
      <c r="O7" s="60">
        <v>1590</v>
      </c>
      <c r="P7" s="60">
        <v>1227</v>
      </c>
      <c r="Q7" s="91">
        <f>(P7-O7)/O7</f>
        <v>-0.22830188679245284</v>
      </c>
      <c r="R7" s="60">
        <v>1656</v>
      </c>
      <c r="S7" s="90">
        <v>1445</v>
      </c>
      <c r="T7" s="91">
        <f>(S7-R7)/R7</f>
        <v>-0.12741545893719808</v>
      </c>
      <c r="U7" s="60">
        <v>1445</v>
      </c>
      <c r="V7" s="90">
        <v>1082</v>
      </c>
      <c r="W7" s="91">
        <f>(V7-U7)/U7</f>
        <v>-0.25121107266435988</v>
      </c>
      <c r="X7" s="60">
        <v>1662</v>
      </c>
      <c r="Y7" s="90">
        <v>1330</v>
      </c>
      <c r="Z7" s="91">
        <f>(Y7-X7)/X7</f>
        <v>-0.19975932611311673</v>
      </c>
      <c r="AA7" s="60">
        <v>1348</v>
      </c>
      <c r="AB7" s="99">
        <v>919</v>
      </c>
      <c r="AC7" s="91">
        <f>(AB7-AA7)/AA7</f>
        <v>-0.31824925816023741</v>
      </c>
      <c r="AD7" s="60">
        <v>971</v>
      </c>
      <c r="AE7" s="90">
        <v>1019</v>
      </c>
      <c r="AF7" s="91">
        <f>(AE7-AD7)/AD7</f>
        <v>4.9433573635427393E-2</v>
      </c>
      <c r="AG7" s="60">
        <v>1109</v>
      </c>
      <c r="AH7" s="90">
        <v>1240</v>
      </c>
      <c r="AI7" s="91">
        <f>(AH7-AG7)/AG7</f>
        <v>0.11812443642921551</v>
      </c>
      <c r="AJ7" s="107">
        <v>1776</v>
      </c>
      <c r="AK7" s="90">
        <v>1834</v>
      </c>
      <c r="AL7" s="91">
        <f>(AK7-AJ7)/AJ7</f>
        <v>3.2657657657657657E-2</v>
      </c>
      <c r="AM7" s="100">
        <f t="shared" ref="AM7:AM9" si="0">C7+F7+I7+L7+O7+R7+U7+X7+AA7+AD7+AG7+AJ7</f>
        <v>18631</v>
      </c>
      <c r="AN7" s="100">
        <f>D7+G7+J7+M7+P7+S7+V7+Y7+AB7+AE7+AH7+AK7</f>
        <v>15042</v>
      </c>
      <c r="AO7" s="108">
        <f>(AN7-AM7)/AM7</f>
        <v>-0.19263592936503676</v>
      </c>
      <c r="AP7" s="109">
        <v>17522</v>
      </c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</row>
    <row r="8" spans="2:108" s="97" customFormat="1">
      <c r="B8" s="104" t="s">
        <v>4</v>
      </c>
      <c r="C8" s="89">
        <v>724</v>
      </c>
      <c r="D8" s="59">
        <v>426</v>
      </c>
      <c r="E8" s="91">
        <f>(D8-C8)/C8</f>
        <v>-0.41160220994475138</v>
      </c>
      <c r="F8" s="89">
        <v>758</v>
      </c>
      <c r="G8" s="89">
        <v>471</v>
      </c>
      <c r="H8" s="91">
        <f>(G8-F8)/F8</f>
        <v>-0.37862796833773088</v>
      </c>
      <c r="I8" s="89">
        <v>658</v>
      </c>
      <c r="J8" s="89">
        <v>372</v>
      </c>
      <c r="K8" s="91">
        <f>(J8-I8)/I8</f>
        <v>-0.43465045592705165</v>
      </c>
      <c r="L8" s="60">
        <v>597</v>
      </c>
      <c r="M8" s="60">
        <v>244</v>
      </c>
      <c r="N8" s="91">
        <f>(M8-L8)/L8</f>
        <v>-0.59128978224455608</v>
      </c>
      <c r="O8" s="60">
        <v>995</v>
      </c>
      <c r="P8" s="60">
        <v>308</v>
      </c>
      <c r="Q8" s="91">
        <f>(P8-O8)/O8</f>
        <v>-0.6904522613065327</v>
      </c>
      <c r="R8" s="60">
        <v>700</v>
      </c>
      <c r="S8" s="99">
        <v>424</v>
      </c>
      <c r="T8" s="91">
        <f>(S8-R8)/R8</f>
        <v>-0.39428571428571429</v>
      </c>
      <c r="U8" s="60">
        <v>460</v>
      </c>
      <c r="V8" s="90">
        <v>528</v>
      </c>
      <c r="W8" s="91">
        <f>(V8-U8)/U8</f>
        <v>0.14782608695652175</v>
      </c>
      <c r="X8" s="60">
        <v>480</v>
      </c>
      <c r="Y8" s="90">
        <v>368</v>
      </c>
      <c r="Z8" s="91">
        <f>(Y8-X8)/X8</f>
        <v>-0.23333333333333334</v>
      </c>
      <c r="AA8" s="60">
        <v>472</v>
      </c>
      <c r="AB8" s="99">
        <v>471</v>
      </c>
      <c r="AC8" s="91">
        <f>(AB8-AA8)/AA8</f>
        <v>-2.1186440677966102E-3</v>
      </c>
      <c r="AD8" s="60">
        <v>562</v>
      </c>
      <c r="AE8" s="90">
        <v>408</v>
      </c>
      <c r="AF8" s="91">
        <f>(AE8-AD8)/AD8</f>
        <v>-0.27402135231316727</v>
      </c>
      <c r="AG8" s="60">
        <v>416</v>
      </c>
      <c r="AH8" s="90">
        <v>294</v>
      </c>
      <c r="AI8" s="91">
        <f>(AH8-AG8)/AG8</f>
        <v>-0.29326923076923078</v>
      </c>
      <c r="AJ8" s="107">
        <v>326</v>
      </c>
      <c r="AK8" s="90">
        <v>481</v>
      </c>
      <c r="AL8" s="91">
        <f>(AK8-AJ8)/AJ8</f>
        <v>0.47546012269938648</v>
      </c>
      <c r="AM8" s="100">
        <f t="shared" si="0"/>
        <v>7148</v>
      </c>
      <c r="AN8" s="100">
        <f>D8+G8+J8+M8+P8+S8+V8+Y8+AB8+AE8+AH8+AK8</f>
        <v>4795</v>
      </c>
      <c r="AO8" s="108">
        <f>(AN8-AM8)/AM8</f>
        <v>-0.32918298824846109</v>
      </c>
      <c r="AP8" s="109">
        <v>6732</v>
      </c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</row>
    <row r="9" spans="2:108" s="97" customFormat="1">
      <c r="B9" s="105" t="s">
        <v>5</v>
      </c>
      <c r="C9" s="89">
        <v>173</v>
      </c>
      <c r="D9" s="59">
        <v>8</v>
      </c>
      <c r="E9" s="91">
        <f>(D9-C9)/C9</f>
        <v>-0.95375722543352603</v>
      </c>
      <c r="F9" s="89">
        <v>207</v>
      </c>
      <c r="G9" s="89">
        <v>21</v>
      </c>
      <c r="H9" s="91">
        <f>(G9-F9)/F9</f>
        <v>-0.89855072463768115</v>
      </c>
      <c r="I9" s="89">
        <v>133</v>
      </c>
      <c r="J9" s="89">
        <v>6</v>
      </c>
      <c r="K9" s="91">
        <f>(J9-I9)/I9</f>
        <v>-0.95488721804511278</v>
      </c>
      <c r="L9" s="60">
        <v>211</v>
      </c>
      <c r="M9" s="60">
        <v>3</v>
      </c>
      <c r="N9" s="91">
        <f>(M9-L9)/L9</f>
        <v>-0.98578199052132698</v>
      </c>
      <c r="O9" s="60">
        <v>106</v>
      </c>
      <c r="P9" s="60">
        <v>7</v>
      </c>
      <c r="Q9" s="91">
        <f>(P9-O9)/O9</f>
        <v>-0.93396226415094341</v>
      </c>
      <c r="R9" s="110">
        <v>47</v>
      </c>
      <c r="S9" s="99">
        <v>26</v>
      </c>
      <c r="T9" s="91">
        <f>(S9-R9)/R9</f>
        <v>-0.44680851063829785</v>
      </c>
      <c r="U9" s="60">
        <v>251</v>
      </c>
      <c r="V9" s="90">
        <v>261</v>
      </c>
      <c r="W9" s="91">
        <f>(V9-U9)/U9</f>
        <v>3.9840637450199202E-2</v>
      </c>
      <c r="X9" s="60">
        <v>225</v>
      </c>
      <c r="Y9" s="90">
        <v>187</v>
      </c>
      <c r="Z9" s="91">
        <f>(Y9-X9)/X9</f>
        <v>-0.16888888888888889</v>
      </c>
      <c r="AA9" s="101">
        <v>134</v>
      </c>
      <c r="AB9" s="99">
        <v>276</v>
      </c>
      <c r="AC9" s="91">
        <f>(AB9-AA9)/AA9</f>
        <v>1.0597014925373134</v>
      </c>
      <c r="AD9" s="101">
        <v>64</v>
      </c>
      <c r="AE9" s="90">
        <v>84</v>
      </c>
      <c r="AF9" s="91">
        <f>(AE9-AD9)/AD9</f>
        <v>0.3125</v>
      </c>
      <c r="AG9" s="101">
        <v>94</v>
      </c>
      <c r="AH9" s="90">
        <v>75</v>
      </c>
      <c r="AI9" s="91">
        <f>(AH9-AG9)/AG9</f>
        <v>-0.20212765957446807</v>
      </c>
      <c r="AJ9" s="107">
        <v>278</v>
      </c>
      <c r="AK9" s="90">
        <v>234</v>
      </c>
      <c r="AL9" s="91">
        <f>(AK9-AJ9)/AJ9</f>
        <v>-0.15827338129496402</v>
      </c>
      <c r="AM9" s="100">
        <f t="shared" si="0"/>
        <v>1923</v>
      </c>
      <c r="AN9" s="100">
        <f>D9+G9+J9+M9+P9+S9+V9+Y9+AB9+AE9+AH9+AK9</f>
        <v>1188</v>
      </c>
      <c r="AO9" s="108">
        <f>(AN9-AM9)/AM9</f>
        <v>-0.38221528861154447</v>
      </c>
      <c r="AP9" s="109">
        <v>1829</v>
      </c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</row>
    <row r="10" spans="2:108" s="98" customFormat="1">
      <c r="B10" s="106" t="s">
        <v>7</v>
      </c>
      <c r="C10" s="100">
        <f>SUM(C6:C9)</f>
        <v>16752</v>
      </c>
      <c r="D10" s="100">
        <f>SUM(D6:D9)</f>
        <v>14351</v>
      </c>
      <c r="E10" s="92">
        <f>(D10-C10)/C10</f>
        <v>-0.14332617000955108</v>
      </c>
      <c r="F10" s="100">
        <f>SUM(F6:F9)</f>
        <v>14533</v>
      </c>
      <c r="G10" s="100">
        <f>SUM(G6:G9)</f>
        <v>10622</v>
      </c>
      <c r="H10" s="92">
        <f>(G10-F10)/F10</f>
        <v>-0.26911167687332277</v>
      </c>
      <c r="I10" s="100">
        <f>SUM(I6:I9)</f>
        <v>12105</v>
      </c>
      <c r="J10" s="100">
        <f>SUM(J6:J9)</f>
        <v>8109</v>
      </c>
      <c r="K10" s="92">
        <f>(J10-I10)/I10</f>
        <v>-0.33011152416356876</v>
      </c>
      <c r="L10" s="100">
        <f>SUM(L6:L9)</f>
        <v>11123</v>
      </c>
      <c r="M10" s="100">
        <f>SUM(M6:M9)</f>
        <v>5268</v>
      </c>
      <c r="N10" s="92">
        <f>(M10-L10)/L10</f>
        <v>-0.52638676616020863</v>
      </c>
      <c r="O10" s="100">
        <f>SUM(O6:O9)</f>
        <v>15546</v>
      </c>
      <c r="P10" s="100">
        <f>SUM(P6:P9)</f>
        <v>8609</v>
      </c>
      <c r="Q10" s="92">
        <f>(P10-O10)/O10</f>
        <v>-0.4462241090955873</v>
      </c>
      <c r="R10" s="100">
        <f>SUM(R6:R9)</f>
        <v>16280</v>
      </c>
      <c r="S10" s="100">
        <f>SUM(S6:S9)</f>
        <v>11955</v>
      </c>
      <c r="T10" s="92">
        <f>(S10-R10)/R10</f>
        <v>-0.26566339066339067</v>
      </c>
      <c r="U10" s="100">
        <f t="shared" ref="U10:AK10" si="1">SUM(U6:U9)</f>
        <v>17206</v>
      </c>
      <c r="V10" s="100">
        <f t="shared" si="1"/>
        <v>14687</v>
      </c>
      <c r="W10" s="92">
        <f>(V10-U10)/U10</f>
        <v>-0.14640241776124607</v>
      </c>
      <c r="X10" s="100">
        <f t="shared" si="1"/>
        <v>25319</v>
      </c>
      <c r="Y10" s="100">
        <f t="shared" si="1"/>
        <v>12940</v>
      </c>
      <c r="Z10" s="92">
        <f>(Y10-X10)/X10</f>
        <v>-0.48892136340297798</v>
      </c>
      <c r="AA10" s="100">
        <f t="shared" si="1"/>
        <v>18207</v>
      </c>
      <c r="AB10" s="100">
        <f t="shared" si="1"/>
        <v>12444</v>
      </c>
      <c r="AC10" s="92">
        <f>(AB10-AA10)/AA10</f>
        <v>-0.31652661064425769</v>
      </c>
      <c r="AD10" s="100">
        <f t="shared" si="1"/>
        <v>12246</v>
      </c>
      <c r="AE10" s="100">
        <f t="shared" si="1"/>
        <v>14034</v>
      </c>
      <c r="AF10" s="92">
        <f>(AE10-AD10)/AD10</f>
        <v>0.14600685938265556</v>
      </c>
      <c r="AG10" s="100">
        <f t="shared" si="1"/>
        <v>14710</v>
      </c>
      <c r="AH10" s="100">
        <f t="shared" si="1"/>
        <v>14862</v>
      </c>
      <c r="AI10" s="92">
        <f>(AH10-AG10)/AG10</f>
        <v>1.0333106730115567E-2</v>
      </c>
      <c r="AJ10" s="100">
        <f t="shared" si="1"/>
        <v>15477</v>
      </c>
      <c r="AK10" s="100">
        <f t="shared" si="1"/>
        <v>18363</v>
      </c>
      <c r="AL10" s="92">
        <f>(AK10-AJ10)/AJ10</f>
        <v>0.18647024617173871</v>
      </c>
      <c r="AM10" s="100">
        <f>C10+F10+I10+L10+O10+R10+U10+X10+AA10+AD10+AG10+AJ10</f>
        <v>189504</v>
      </c>
      <c r="AN10" s="100">
        <f>D10+G10+J10+M10+P10+S10+V10+Y10+AB10+AE10+AH10+AK10</f>
        <v>146244</v>
      </c>
      <c r="AO10" s="112">
        <f>(AN10-AM10)/AM10</f>
        <v>-0.22828014184397163</v>
      </c>
      <c r="AP10" s="113"/>
      <c r="AQ10" s="109"/>
      <c r="AR10" s="114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</row>
    <row r="12" spans="2:108">
      <c r="B12" s="25" t="s">
        <v>56</v>
      </c>
      <c r="I12" s="184"/>
      <c r="L12" s="184"/>
      <c r="O12" s="184"/>
      <c r="R12" s="184"/>
      <c r="U12" s="184"/>
      <c r="X12" s="184"/>
      <c r="AA12" s="184"/>
      <c r="AD12" s="184"/>
      <c r="AG12" s="184"/>
      <c r="AJ12" s="184"/>
    </row>
    <row r="13" spans="2:108"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M13" s="184"/>
    </row>
    <row r="14" spans="2:108">
      <c r="C14" s="26"/>
      <c r="D14" s="26"/>
      <c r="E14" s="26"/>
      <c r="F14" s="26"/>
      <c r="G14" s="26"/>
    </row>
    <row r="15" spans="2:108"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2:108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2:35">
      <c r="B17" s="64"/>
      <c r="C17" s="18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2:3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2:3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2:3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2:35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</row>
    <row r="22" spans="2:35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2:3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</row>
    <row r="24" spans="2:3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2:35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pageMargins left="0.7" right="0.7" top="0.78740157499999996" bottom="0.78740157499999996" header="0.3" footer="0.3"/>
  <pageSetup paperSize="9" orientation="portrait" r:id="rId1"/>
  <ignoredErrors>
    <ignoredError sqref="C10:D10 F10:G10 R10:S10 P10 U10:V10 AB10 X10:Y10 AA10 AD10:AE10 AG10:AH10 AJ10:AK10" formulaRange="1"/>
    <ignoredError sqref="E10 O10 L10:M10 I10:J10" formula="1" formulaRange="1"/>
    <ignoredError sqref="H10 N10 K10 Q10 T10 W10 Z10 AC10 AF10" formula="1"/>
    <ignoredError sqref="AC7:AC9 AF7:AF9 AI6:AI9 AL10 AL6:AL9 AO10" evalError="1"/>
    <ignoredError sqref="AI10" evalError="1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7D60C-ED60-461F-AE0A-DCC556024416}">
  <dimension ref="A1:AR23"/>
  <sheetViews>
    <sheetView topLeftCell="B1" zoomScale="99" zoomScaleNormal="99" workbookViewId="0">
      <pane xSplit="1" topLeftCell="AE1" activePane="topRight" state="frozen"/>
      <selection activeCell="B1" sqref="B1"/>
      <selection pane="topRight" activeCell="AM12" sqref="AM12"/>
    </sheetView>
  </sheetViews>
  <sheetFormatPr baseColWidth="10" defaultColWidth="11.42578125" defaultRowHeight="15"/>
  <cols>
    <col min="1" max="1" width="57" style="25" hidden="1" customWidth="1"/>
    <col min="2" max="2" width="25.85546875" style="25" customWidth="1"/>
    <col min="3" max="3" width="11.42578125" style="25" customWidth="1"/>
    <col min="4" max="4" width="10.140625" style="25" customWidth="1"/>
    <col min="5" max="5" width="11.5703125" style="25" customWidth="1"/>
    <col min="6" max="6" width="8.85546875" style="25" customWidth="1"/>
    <col min="7" max="7" width="8.7109375" style="25" customWidth="1"/>
    <col min="8" max="8" width="10.85546875" style="25" customWidth="1"/>
    <col min="9" max="9" width="9.140625" style="25" bestFit="1" customWidth="1"/>
    <col min="10" max="10" width="8.42578125" style="25" customWidth="1"/>
    <col min="11" max="11" width="10" style="25" customWidth="1"/>
    <col min="12" max="12" width="9.85546875" style="25" customWidth="1"/>
    <col min="13" max="13" width="9.42578125" style="25" customWidth="1"/>
    <col min="14" max="14" width="11.140625" style="25" customWidth="1"/>
    <col min="15" max="15" width="9" style="25" customWidth="1"/>
    <col min="16" max="16" width="9.28515625" style="25" customWidth="1"/>
    <col min="17" max="17" width="9.85546875" style="25" bestFit="1" customWidth="1"/>
    <col min="18" max="18" width="7.7109375" style="25" bestFit="1" customWidth="1"/>
    <col min="19" max="19" width="8.5703125" style="25" bestFit="1" customWidth="1"/>
    <col min="20" max="21" width="11.42578125" style="25"/>
    <col min="22" max="22" width="10.5703125" style="25" customWidth="1"/>
    <col min="23" max="16384" width="11.42578125" style="25"/>
  </cols>
  <sheetData>
    <row r="1" spans="2:44">
      <c r="B1" s="10" t="s">
        <v>25</v>
      </c>
    </row>
    <row r="2" spans="2:44" s="64" customFormat="1">
      <c r="B2" s="70"/>
    </row>
    <row r="3" spans="2:44"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2:44" s="64" customFormat="1" ht="45" customHeight="1">
      <c r="B4" s="18"/>
      <c r="C4" s="233" t="s">
        <v>8</v>
      </c>
      <c r="D4" s="233"/>
      <c r="E4" s="85" t="s">
        <v>30</v>
      </c>
      <c r="F4" s="233" t="s">
        <v>9</v>
      </c>
      <c r="G4" s="233"/>
      <c r="H4" s="83" t="s">
        <v>30</v>
      </c>
      <c r="I4" s="233" t="s">
        <v>10</v>
      </c>
      <c r="J4" s="233"/>
      <c r="K4" s="83" t="s">
        <v>30</v>
      </c>
      <c r="L4" s="233" t="s">
        <v>11</v>
      </c>
      <c r="M4" s="233"/>
      <c r="N4" s="82" t="s">
        <v>30</v>
      </c>
      <c r="O4" s="233" t="s">
        <v>0</v>
      </c>
      <c r="P4" s="233"/>
      <c r="Q4" s="83" t="s">
        <v>30</v>
      </c>
      <c r="R4" s="233" t="s">
        <v>1</v>
      </c>
      <c r="S4" s="233"/>
      <c r="T4" s="82" t="s">
        <v>30</v>
      </c>
      <c r="U4" s="231" t="s">
        <v>2</v>
      </c>
      <c r="V4" s="232"/>
      <c r="W4" s="82" t="s">
        <v>30</v>
      </c>
      <c r="X4" s="233" t="s">
        <v>12</v>
      </c>
      <c r="Y4" s="233"/>
      <c r="Z4" s="82" t="s">
        <v>30</v>
      </c>
      <c r="AA4" s="231" t="s">
        <v>13</v>
      </c>
      <c r="AB4" s="234"/>
      <c r="AC4" s="82" t="s">
        <v>30</v>
      </c>
      <c r="AD4" s="231" t="s">
        <v>14</v>
      </c>
      <c r="AE4" s="232"/>
      <c r="AF4" s="84" t="s">
        <v>30</v>
      </c>
      <c r="AG4" s="231" t="s">
        <v>15</v>
      </c>
      <c r="AH4" s="234"/>
      <c r="AI4" s="82" t="s">
        <v>30</v>
      </c>
      <c r="AJ4" s="231" t="s">
        <v>16</v>
      </c>
      <c r="AK4" s="234"/>
      <c r="AL4" s="84" t="s">
        <v>30</v>
      </c>
      <c r="AM4" s="235" t="s">
        <v>29</v>
      </c>
      <c r="AN4" s="236"/>
      <c r="AO4" s="237" t="s">
        <v>28</v>
      </c>
    </row>
    <row r="5" spans="2:44" s="64" customFormat="1" ht="15" customHeight="1">
      <c r="B5" s="1"/>
      <c r="C5" s="13">
        <v>2019</v>
      </c>
      <c r="D5" s="13">
        <v>2020</v>
      </c>
      <c r="E5" s="74" t="s">
        <v>34</v>
      </c>
      <c r="F5" s="13">
        <v>2019</v>
      </c>
      <c r="G5" s="13">
        <v>2020</v>
      </c>
      <c r="H5" s="82" t="s">
        <v>34</v>
      </c>
      <c r="I5" s="13">
        <v>2019</v>
      </c>
      <c r="J5" s="13">
        <v>2020</v>
      </c>
      <c r="K5" s="82" t="s">
        <v>34</v>
      </c>
      <c r="L5" s="13">
        <v>2019</v>
      </c>
      <c r="M5" s="13">
        <v>2020</v>
      </c>
      <c r="N5" s="82" t="s">
        <v>34</v>
      </c>
      <c r="O5" s="13">
        <v>2019</v>
      </c>
      <c r="P5" s="13">
        <v>2020</v>
      </c>
      <c r="Q5" s="82" t="s">
        <v>34</v>
      </c>
      <c r="R5" s="71">
        <v>2019</v>
      </c>
      <c r="S5" s="71">
        <v>2020</v>
      </c>
      <c r="T5" s="82" t="s">
        <v>34</v>
      </c>
      <c r="U5" s="71">
        <v>2019</v>
      </c>
      <c r="V5" s="71">
        <v>2020</v>
      </c>
      <c r="W5" s="82" t="s">
        <v>34</v>
      </c>
      <c r="X5" s="71">
        <v>2019</v>
      </c>
      <c r="Y5" s="71">
        <v>2020</v>
      </c>
      <c r="Z5" s="82" t="s">
        <v>34</v>
      </c>
      <c r="AA5" s="71">
        <v>2019</v>
      </c>
      <c r="AB5" s="71">
        <v>2020</v>
      </c>
      <c r="AC5" s="82" t="s">
        <v>34</v>
      </c>
      <c r="AD5" s="71">
        <v>2019</v>
      </c>
      <c r="AE5" s="71">
        <v>2020</v>
      </c>
      <c r="AF5" s="84" t="s">
        <v>34</v>
      </c>
      <c r="AG5" s="71">
        <v>2019</v>
      </c>
      <c r="AH5" s="71">
        <v>2020</v>
      </c>
      <c r="AI5" s="82" t="s">
        <v>34</v>
      </c>
      <c r="AJ5" s="71">
        <v>2019</v>
      </c>
      <c r="AK5" s="71">
        <v>2020</v>
      </c>
      <c r="AL5" s="82" t="s">
        <v>34</v>
      </c>
      <c r="AM5" s="13">
        <v>2019</v>
      </c>
      <c r="AN5" s="13">
        <v>2020</v>
      </c>
      <c r="AO5" s="238"/>
    </row>
    <row r="6" spans="2:44" s="64" customFormat="1">
      <c r="B6" s="19" t="s">
        <v>88</v>
      </c>
      <c r="C6" s="139">
        <v>92746</v>
      </c>
      <c r="D6" s="103">
        <v>102922</v>
      </c>
      <c r="E6" s="91">
        <f>(D6-C6)/C6</f>
        <v>0.10971901753175339</v>
      </c>
      <c r="F6" s="89">
        <v>95912</v>
      </c>
      <c r="G6" s="102">
        <v>108055</v>
      </c>
      <c r="H6" s="91">
        <f>(G6-F6)/F6</f>
        <v>0.12660563850196013</v>
      </c>
      <c r="I6" s="89">
        <v>128808</v>
      </c>
      <c r="J6" s="102">
        <v>157979</v>
      </c>
      <c r="K6" s="91">
        <f>(J6-I6)/I6</f>
        <v>0.2264688528662816</v>
      </c>
      <c r="L6" s="60">
        <v>149818</v>
      </c>
      <c r="M6" s="60">
        <v>53283</v>
      </c>
      <c r="N6" s="91">
        <f>(M6-L6)/L6</f>
        <v>-0.64434847615106328</v>
      </c>
      <c r="O6" s="60">
        <v>115723</v>
      </c>
      <c r="P6" s="60">
        <v>60487</v>
      </c>
      <c r="Q6" s="91">
        <f>(P6-O6)/O6</f>
        <v>-0.4773122024143861</v>
      </c>
      <c r="R6" s="60">
        <v>128644</v>
      </c>
      <c r="S6" s="90">
        <v>106422</v>
      </c>
      <c r="T6" s="91">
        <f>(S6-R6)/R6</f>
        <v>-0.17274027548894624</v>
      </c>
      <c r="U6" s="2">
        <v>140262</v>
      </c>
      <c r="V6" s="66">
        <v>151681</v>
      </c>
      <c r="W6" s="91">
        <f>(V6-U6)/U6</f>
        <v>8.1411929104105177E-2</v>
      </c>
      <c r="X6" s="81">
        <v>138583</v>
      </c>
      <c r="Y6" s="66">
        <v>127043</v>
      </c>
      <c r="Z6" s="91">
        <f>(Y6-X6)/X6</f>
        <v>-8.327139692458671E-2</v>
      </c>
      <c r="AA6" s="2">
        <v>122068</v>
      </c>
      <c r="AB6" s="66">
        <v>133600</v>
      </c>
      <c r="AC6" s="91">
        <f>(AB6-AA6)/AA6</f>
        <v>9.447193367631157E-2</v>
      </c>
      <c r="AD6" s="2">
        <v>144054</v>
      </c>
      <c r="AE6" s="66">
        <v>151689</v>
      </c>
      <c r="AF6" s="91">
        <f>(AE6-AD6)/AD6</f>
        <v>5.3000957974093051E-2</v>
      </c>
      <c r="AG6" s="2">
        <v>134781</v>
      </c>
      <c r="AH6" s="65">
        <v>129052</v>
      </c>
      <c r="AI6" s="91">
        <f>(AH6-AG6)/AG6</f>
        <v>-4.2505991200540133E-2</v>
      </c>
      <c r="AJ6" s="4">
        <v>176410</v>
      </c>
      <c r="AK6" s="65">
        <v>151743</v>
      </c>
      <c r="AL6" s="91">
        <f>(AK6-AJ6)/AJ6</f>
        <v>-0.13982767416813105</v>
      </c>
      <c r="AM6" s="3">
        <f t="shared" ref="AM6:AN10" si="0">C6+F6+I6+L6+O6+R6+U6+X6+AA6+AD6+AG6+AJ6</f>
        <v>1567809</v>
      </c>
      <c r="AN6" s="3">
        <f t="shared" si="0"/>
        <v>1433956</v>
      </c>
      <c r="AO6" s="14">
        <f>(AN6-AM6)/AM6</f>
        <v>-8.5375833408278687E-2</v>
      </c>
    </row>
    <row r="7" spans="2:44" s="64" customFormat="1">
      <c r="B7" s="75" t="s">
        <v>128</v>
      </c>
      <c r="C7" s="139">
        <v>7596</v>
      </c>
      <c r="D7" s="103">
        <v>8121</v>
      </c>
      <c r="E7" s="91">
        <f>(D7-C7)/C7</f>
        <v>6.9115323854660349E-2</v>
      </c>
      <c r="F7" s="89">
        <v>8492</v>
      </c>
      <c r="G7" s="102">
        <v>8174</v>
      </c>
      <c r="H7" s="91">
        <f>(G7-F7)/F7</f>
        <v>-3.7447008949599625E-2</v>
      </c>
      <c r="I7" s="89">
        <v>9120</v>
      </c>
      <c r="J7" s="102">
        <v>9424</v>
      </c>
      <c r="K7" s="91">
        <f>(J7-I7)/I7</f>
        <v>3.3333333333333333E-2</v>
      </c>
      <c r="L7" s="90">
        <v>10238</v>
      </c>
      <c r="M7" s="90">
        <v>5892</v>
      </c>
      <c r="N7" s="91">
        <f>(M7-L7)/L7</f>
        <v>-0.42449697206485643</v>
      </c>
      <c r="O7" s="90">
        <v>7880</v>
      </c>
      <c r="P7" s="90">
        <v>5962</v>
      </c>
      <c r="Q7" s="91">
        <f>(P7-O7)/O7</f>
        <v>-0.24340101522842639</v>
      </c>
      <c r="R7" s="90">
        <v>8754</v>
      </c>
      <c r="S7" s="90">
        <v>8363</v>
      </c>
      <c r="T7" s="91">
        <f>(S7-R7)/R7</f>
        <v>-4.4665295864747545E-2</v>
      </c>
      <c r="U7" s="66">
        <v>10429</v>
      </c>
      <c r="V7" s="66">
        <v>10372</v>
      </c>
      <c r="W7" s="91">
        <f>(V7-U7)/U7</f>
        <v>-5.4655288138843608E-3</v>
      </c>
      <c r="X7" s="66">
        <v>10547</v>
      </c>
      <c r="Y7" s="66">
        <v>8863</v>
      </c>
      <c r="Z7" s="91">
        <f>(Y7-X7)/X7</f>
        <v>-0.15966625580733859</v>
      </c>
      <c r="AA7" s="66">
        <v>9346</v>
      </c>
      <c r="AB7" s="66">
        <v>11283</v>
      </c>
      <c r="AC7" s="91">
        <f>(AB7-AA7)/AA7</f>
        <v>0.20725444040231114</v>
      </c>
      <c r="AD7" s="66">
        <v>11412</v>
      </c>
      <c r="AE7" s="66">
        <v>11331</v>
      </c>
      <c r="AF7" s="91">
        <f>(AE7-AD7)/AD7</f>
        <v>-7.0977917981072556E-3</v>
      </c>
      <c r="AG7" s="66">
        <v>10139</v>
      </c>
      <c r="AH7" s="65">
        <v>9961</v>
      </c>
      <c r="AI7" s="91">
        <f>(AH7-AG7)/AG7</f>
        <v>-1.7555971989348062E-2</v>
      </c>
      <c r="AJ7" s="68">
        <v>14370</v>
      </c>
      <c r="AK7" s="65">
        <v>13439</v>
      </c>
      <c r="AL7" s="91">
        <f>(AK7-AJ7)/AJ7</f>
        <v>-6.4787752261656228E-2</v>
      </c>
      <c r="AM7" s="3">
        <f t="shared" si="0"/>
        <v>118323</v>
      </c>
      <c r="AN7" s="3">
        <f t="shared" si="0"/>
        <v>111185</v>
      </c>
      <c r="AO7" s="14">
        <f>(AN7-AM7)/AM7</f>
        <v>-6.032639469925543E-2</v>
      </c>
    </row>
    <row r="8" spans="2:44" s="64" customFormat="1">
      <c r="B8" s="19" t="s">
        <v>4</v>
      </c>
      <c r="C8" s="59">
        <v>5053</v>
      </c>
      <c r="D8" s="59">
        <v>5857</v>
      </c>
      <c r="E8" s="91">
        <f>(D8-C8)/C8</f>
        <v>0.1591133979813972</v>
      </c>
      <c r="F8" s="89">
        <v>5553</v>
      </c>
      <c r="G8" s="89">
        <v>5513</v>
      </c>
      <c r="H8" s="91">
        <f>(G8-F8)/F8</f>
        <v>-7.2033135242211416E-3</v>
      </c>
      <c r="I8" s="89">
        <v>6537</v>
      </c>
      <c r="J8" s="89">
        <v>5295</v>
      </c>
      <c r="K8" s="91">
        <f>(J8-I8)/I8</f>
        <v>-0.18999541073887105</v>
      </c>
      <c r="L8" s="60">
        <v>6853</v>
      </c>
      <c r="M8" s="60">
        <v>4599</v>
      </c>
      <c r="N8" s="91">
        <f>(M8-L8)/L8</f>
        <v>-0.32890704800817161</v>
      </c>
      <c r="O8" s="60">
        <v>4804</v>
      </c>
      <c r="P8" s="60">
        <v>4332</v>
      </c>
      <c r="Q8" s="91">
        <f>(P8-O8)/O8</f>
        <v>-9.8251457119067451E-2</v>
      </c>
      <c r="R8" s="60">
        <v>6044</v>
      </c>
      <c r="S8" s="90">
        <v>5041</v>
      </c>
      <c r="T8" s="91">
        <f>(S8-R8)/R8</f>
        <v>-0.16594970218398411</v>
      </c>
      <c r="U8" s="2">
        <v>6391</v>
      </c>
      <c r="V8" s="66">
        <v>6273</v>
      </c>
      <c r="W8" s="91">
        <f>(V8-U8)/U8</f>
        <v>-1.8463464246596777E-2</v>
      </c>
      <c r="X8" s="2">
        <v>6542</v>
      </c>
      <c r="Y8" s="66">
        <v>5844</v>
      </c>
      <c r="Z8" s="91">
        <f>(Y8-X8)/X8</f>
        <v>-0.10669520024457352</v>
      </c>
      <c r="AA8" s="2">
        <v>5945</v>
      </c>
      <c r="AB8" s="66">
        <v>6900</v>
      </c>
      <c r="AC8" s="91">
        <f>(AB8-AA8)/AA8</f>
        <v>0.16063919259882253</v>
      </c>
      <c r="AD8" s="2">
        <v>7958</v>
      </c>
      <c r="AE8" s="66">
        <v>7202</v>
      </c>
      <c r="AF8" s="91">
        <f>(AE8-AD8)/AD8</f>
        <v>-9.4998743402865043E-2</v>
      </c>
      <c r="AG8" s="2">
        <v>7097</v>
      </c>
      <c r="AH8" s="65">
        <v>6690</v>
      </c>
      <c r="AI8" s="91">
        <f>(AH8-AG8)/AG8</f>
        <v>-5.7348175285331829E-2</v>
      </c>
      <c r="AJ8" s="4">
        <v>10028</v>
      </c>
      <c r="AK8" s="65">
        <v>9139</v>
      </c>
      <c r="AL8" s="91">
        <f>(AK8-AJ8)/AJ8</f>
        <v>-8.8651775029916238E-2</v>
      </c>
      <c r="AM8" s="3">
        <f t="shared" si="0"/>
        <v>78805</v>
      </c>
      <c r="AN8" s="3">
        <f t="shared" si="0"/>
        <v>72685</v>
      </c>
      <c r="AO8" s="14">
        <f>(AN8-AM8)/AM8</f>
        <v>-7.7660046951335576E-2</v>
      </c>
    </row>
    <row r="9" spans="2:44" s="64" customFormat="1">
      <c r="B9" s="75" t="s">
        <v>5</v>
      </c>
      <c r="C9" s="59">
        <v>729</v>
      </c>
      <c r="D9" s="59">
        <v>1090</v>
      </c>
      <c r="E9" s="91">
        <f>(D9-C9)/C9</f>
        <v>0.49519890260631</v>
      </c>
      <c r="F9" s="89">
        <v>981</v>
      </c>
      <c r="G9" s="89">
        <v>1240</v>
      </c>
      <c r="H9" s="91">
        <f>(G9-F9)/F9</f>
        <v>0.2640163098878695</v>
      </c>
      <c r="I9" s="89">
        <v>945</v>
      </c>
      <c r="J9" s="89">
        <v>1118</v>
      </c>
      <c r="K9" s="91">
        <f>(J9-I9)/I9</f>
        <v>0.18306878306878308</v>
      </c>
      <c r="L9" s="60">
        <v>1439</v>
      </c>
      <c r="M9" s="60">
        <v>512</v>
      </c>
      <c r="N9" s="91">
        <f>(M9-L9)/L9</f>
        <v>-0.64419735927727584</v>
      </c>
      <c r="O9" s="60">
        <v>1098</v>
      </c>
      <c r="P9" s="60">
        <v>762</v>
      </c>
      <c r="Q9" s="91">
        <f>(P9-O9)/O9</f>
        <v>-0.30601092896174864</v>
      </c>
      <c r="R9" s="60">
        <v>995</v>
      </c>
      <c r="S9" s="90">
        <v>1541</v>
      </c>
      <c r="T9" s="91">
        <f>(S9-R9)/R9</f>
        <v>0.54874371859296478</v>
      </c>
      <c r="U9" s="1">
        <v>1205</v>
      </c>
      <c r="V9" s="66">
        <v>866</v>
      </c>
      <c r="W9" s="91">
        <f>(V9-U9)/U9</f>
        <v>-0.28132780082987552</v>
      </c>
      <c r="X9" s="2">
        <v>1214</v>
      </c>
      <c r="Y9" s="66">
        <v>861</v>
      </c>
      <c r="Z9" s="91">
        <f>(Y9-X9)/X9</f>
        <v>-0.29077429983525538</v>
      </c>
      <c r="AA9" s="81">
        <v>1237</v>
      </c>
      <c r="AB9" s="66">
        <v>1060</v>
      </c>
      <c r="AC9" s="91">
        <f>(AB9-AA9)/AA9</f>
        <v>-0.14308811641067098</v>
      </c>
      <c r="AD9" s="81">
        <v>1167</v>
      </c>
      <c r="AE9" s="66">
        <v>1318</v>
      </c>
      <c r="AF9" s="91">
        <f>(AE9-AD9)/AD9</f>
        <v>0.12939160239931449</v>
      </c>
      <c r="AG9" s="81">
        <v>1182</v>
      </c>
      <c r="AH9" s="65">
        <v>1223</v>
      </c>
      <c r="AI9" s="91">
        <f>(AH9-AG9)/AG9</f>
        <v>3.4686971235194583E-2</v>
      </c>
      <c r="AJ9" s="4">
        <v>1772</v>
      </c>
      <c r="AK9" s="65">
        <v>1746</v>
      </c>
      <c r="AL9" s="91">
        <f>(AK9-AJ9)/AJ9</f>
        <v>-1.4672686230248307E-2</v>
      </c>
      <c r="AM9" s="3">
        <f t="shared" si="0"/>
        <v>13964</v>
      </c>
      <c r="AN9" s="3">
        <f t="shared" si="0"/>
        <v>13337</v>
      </c>
      <c r="AO9" s="14">
        <f>(AN9-AM9)/AM9</f>
        <v>-4.4901174448582069E-2</v>
      </c>
    </row>
    <row r="10" spans="2:44" s="70" customFormat="1">
      <c r="B10" s="22" t="s">
        <v>7</v>
      </c>
      <c r="C10" s="100">
        <f>SUM(C6:C9)</f>
        <v>106124</v>
      </c>
      <c r="D10" s="100">
        <f>SUM(D6:D9)</f>
        <v>117990</v>
      </c>
      <c r="E10" s="92">
        <f>(D10-C10)/C10</f>
        <v>0.11181259658512684</v>
      </c>
      <c r="F10" s="100">
        <f>SUM(F6:F9)</f>
        <v>110938</v>
      </c>
      <c r="G10" s="100">
        <f>SUM(G6:G9)</f>
        <v>122982</v>
      </c>
      <c r="H10" s="92">
        <f>(G10-F10)/F10</f>
        <v>0.1085651444951234</v>
      </c>
      <c r="I10" s="100">
        <f>SUM(I6:I9)</f>
        <v>145410</v>
      </c>
      <c r="J10" s="100">
        <f>SUM(J6:J9)</f>
        <v>173816</v>
      </c>
      <c r="K10" s="92">
        <f>(J10-I10)/I10</f>
        <v>0.19535107626710679</v>
      </c>
      <c r="L10" s="100">
        <f>SUM(L6:L9)</f>
        <v>168348</v>
      </c>
      <c r="M10" s="100">
        <f>SUM(M6:M9)</f>
        <v>64286</v>
      </c>
      <c r="N10" s="92">
        <f>(M10-L10)/L10</f>
        <v>-0.61813624159479175</v>
      </c>
      <c r="O10" s="100">
        <f>SUM(O6:O9)</f>
        <v>129505</v>
      </c>
      <c r="P10" s="100">
        <f>SUM(P6:P9)</f>
        <v>71543</v>
      </c>
      <c r="Q10" s="92">
        <f>(P10-O10)/O10</f>
        <v>-0.44756573105285508</v>
      </c>
      <c r="R10" s="100">
        <f>SUM(R6:R9)</f>
        <v>144437</v>
      </c>
      <c r="S10" s="100">
        <f>SUM(S6:S9)</f>
        <v>121367</v>
      </c>
      <c r="T10" s="92">
        <f>(S10-R10)/R10</f>
        <v>-0.15972361652485167</v>
      </c>
      <c r="U10" s="3">
        <f>SUM(U6:U9)</f>
        <v>158287</v>
      </c>
      <c r="V10" s="3">
        <f>SUM(V6:V9)</f>
        <v>169192</v>
      </c>
      <c r="W10" s="92">
        <f>(V10-U10)/U10</f>
        <v>6.8893844725087972E-2</v>
      </c>
      <c r="X10" s="3">
        <f>SUM(X6:X9)</f>
        <v>156886</v>
      </c>
      <c r="Y10" s="3">
        <f>SUM(Y6:Y9)</f>
        <v>142611</v>
      </c>
      <c r="Z10" s="92">
        <f>(Y10-X10)/X10</f>
        <v>-9.0989635786494646E-2</v>
      </c>
      <c r="AA10" s="3">
        <f>SUM(AA6:AA9)</f>
        <v>138596</v>
      </c>
      <c r="AB10" s="3">
        <f>SUM(AB6:AB9)</f>
        <v>152843</v>
      </c>
      <c r="AC10" s="92">
        <f>(AB10-AA10)/AA10</f>
        <v>0.1027951744639095</v>
      </c>
      <c r="AD10" s="3">
        <f>SUM(AD6:AD9)</f>
        <v>164591</v>
      </c>
      <c r="AE10" s="3">
        <f>SUM(AE6:AE9)</f>
        <v>171540</v>
      </c>
      <c r="AF10" s="92">
        <f>(AE10-AD10)/AD10</f>
        <v>4.2219805457163515E-2</v>
      </c>
      <c r="AG10" s="3">
        <f>SUM(AG6:AG9)</f>
        <v>153199</v>
      </c>
      <c r="AH10" s="3">
        <f>SUM(AH6:AH9)</f>
        <v>146926</v>
      </c>
      <c r="AI10" s="92">
        <f>(AH10-AG10)/AG10</f>
        <v>-4.0946742472209349E-2</v>
      </c>
      <c r="AJ10" s="3">
        <f>SUM(AJ6:AJ9)</f>
        <v>202580</v>
      </c>
      <c r="AK10" s="3">
        <f>SUM(AK6:AK9)</f>
        <v>176067</v>
      </c>
      <c r="AL10" s="92">
        <f>(AK10-AJ10)/AJ10</f>
        <v>-0.13087669069009775</v>
      </c>
      <c r="AM10" s="3">
        <f t="shared" si="0"/>
        <v>1778901</v>
      </c>
      <c r="AN10" s="3">
        <f t="shared" si="0"/>
        <v>1631163</v>
      </c>
      <c r="AO10" s="15">
        <f>(AN10-AM10)/AM10</f>
        <v>-8.3050152875286484E-2</v>
      </c>
      <c r="AQ10" s="64"/>
      <c r="AR10" s="79"/>
    </row>
    <row r="11" spans="2:44">
      <c r="C11" s="27"/>
      <c r="D11" s="27"/>
      <c r="E11" s="27"/>
      <c r="F11" s="27"/>
      <c r="G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2:44">
      <c r="B12" s="25" t="s">
        <v>36</v>
      </c>
      <c r="C12" s="157" t="s">
        <v>131</v>
      </c>
      <c r="D12" s="27"/>
      <c r="E12" s="27"/>
      <c r="F12" s="27"/>
      <c r="G12" s="27"/>
      <c r="AM12" s="184"/>
    </row>
    <row r="13" spans="2:44">
      <c r="AF13" s="64"/>
      <c r="AG13" s="64"/>
      <c r="AH13" s="64"/>
      <c r="AI13" s="64"/>
      <c r="AJ13" s="64"/>
      <c r="AK13" s="64"/>
      <c r="AL13" s="64"/>
      <c r="AM13" s="64"/>
      <c r="AN13" s="64"/>
    </row>
    <row r="14" spans="2:44">
      <c r="B14" s="64" t="s">
        <v>95</v>
      </c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2:44"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2:44">
      <c r="C16" s="81"/>
      <c r="D16" s="81"/>
      <c r="F16" s="81"/>
      <c r="G16" s="81"/>
      <c r="I16" s="81"/>
      <c r="J16" s="81"/>
      <c r="L16" s="81"/>
      <c r="M16" s="81"/>
      <c r="O16" s="81"/>
      <c r="P16" s="81"/>
      <c r="R16" s="81"/>
      <c r="S16" s="81"/>
      <c r="U16" s="81"/>
      <c r="V16" s="81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</row>
    <row r="17" spans="30:40"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</row>
    <row r="18" spans="30:40"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</row>
    <row r="19" spans="30:40"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30:40"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30:40"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30:40"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30:40"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</sheetData>
  <mergeCells count="14">
    <mergeCell ref="C4:D4"/>
    <mergeCell ref="F4:G4"/>
    <mergeCell ref="I4:J4"/>
    <mergeCell ref="L4:M4"/>
    <mergeCell ref="O4:P4"/>
    <mergeCell ref="AG4:AH4"/>
    <mergeCell ref="AJ4:AK4"/>
    <mergeCell ref="AM4:AN4"/>
    <mergeCell ref="AO4:AO5"/>
    <mergeCell ref="R4:S4"/>
    <mergeCell ref="U4:V4"/>
    <mergeCell ref="X4:Y4"/>
    <mergeCell ref="AA4:AB4"/>
    <mergeCell ref="AD4:AE4"/>
  </mergeCells>
  <hyperlinks>
    <hyperlink ref="C12" r:id="rId1" xr:uid="{62182973-B066-448D-9226-157BEB6EBB52}"/>
  </hyperlinks>
  <pageMargins left="0.7" right="0.7" top="0.78740157499999996" bottom="0.78740157499999996" header="0.3" footer="0.3"/>
  <pageSetup paperSize="9" orientation="portrait" r:id="rId2"/>
  <ignoredErrors>
    <ignoredError sqref="C10:D10 F10:G10 I10:J10 L10:M10 O10:P10 R10:S10 U10:V10 X10:Y10 AA10:AB10 AD10:AE10 AG10:AH10 AJ10:AK10" formulaRange="1"/>
    <ignoredError sqref="E10 H10 K10 N10 Q10 T10 W10 AC10 AI10" formula="1"/>
    <ignoredError sqref="Z6:Z9 AC8:AC9 AC7 AF6:AF9" evalError="1"/>
    <ignoredError sqref="Z10 AF10" evalError="1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C3703-C4EE-49A2-BA93-2C6C26646F5C}">
  <dimension ref="A1:AR21"/>
  <sheetViews>
    <sheetView topLeftCell="B1" zoomScaleNormal="100" workbookViewId="0">
      <pane xSplit="1" topLeftCell="AE1" activePane="topRight" state="frozen"/>
      <selection activeCell="K29" sqref="K29"/>
      <selection pane="topRight" activeCell="AM13" sqref="AM13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3" width="9.5703125" style="25" customWidth="1"/>
    <col min="4" max="4" width="10.42578125" style="25" customWidth="1"/>
    <col min="5" max="5" width="11.5703125" style="25" customWidth="1"/>
    <col min="6" max="7" width="7.5703125" style="25" bestFit="1" customWidth="1"/>
    <col min="8" max="8" width="10.85546875" style="25" customWidth="1"/>
    <col min="9" max="9" width="8.5703125" style="25" customWidth="1"/>
    <col min="10" max="10" width="9.28515625" style="25" customWidth="1"/>
    <col min="11" max="11" width="10" style="25" customWidth="1"/>
    <col min="12" max="13" width="7.5703125" style="25" bestFit="1" customWidth="1"/>
    <col min="14" max="14" width="11.140625" style="25" customWidth="1"/>
    <col min="15" max="16" width="7.5703125" style="25" bestFit="1" customWidth="1"/>
    <col min="17" max="17" width="9.85546875" style="25" bestFit="1" customWidth="1"/>
    <col min="18" max="18" width="7.5703125" style="25" bestFit="1" customWidth="1"/>
    <col min="19" max="19" width="10.7109375" style="25" customWidth="1"/>
    <col min="20" max="21" width="11.42578125" style="25"/>
    <col min="22" max="22" width="10.5703125" style="25" customWidth="1"/>
    <col min="23" max="16384" width="11.42578125" style="25"/>
  </cols>
  <sheetData>
    <row r="1" spans="2:44">
      <c r="B1" s="10" t="s">
        <v>19</v>
      </c>
    </row>
    <row r="2" spans="2:44">
      <c r="S2" s="27"/>
    </row>
    <row r="4" spans="2:44" ht="45" customHeight="1">
      <c r="B4" s="11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1" t="s">
        <v>0</v>
      </c>
      <c r="P4" s="234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1" t="s">
        <v>29</v>
      </c>
      <c r="AN4" s="232"/>
      <c r="AO4" s="237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8" t="s">
        <v>34</v>
      </c>
      <c r="I5" s="12">
        <v>2019</v>
      </c>
      <c r="J5" s="12">
        <v>2020</v>
      </c>
      <c r="K5" s="28" t="s">
        <v>34</v>
      </c>
      <c r="L5" s="12">
        <v>2019</v>
      </c>
      <c r="M5" s="12">
        <v>2020</v>
      </c>
      <c r="N5" s="28" t="s">
        <v>34</v>
      </c>
      <c r="O5" s="12">
        <v>2019</v>
      </c>
      <c r="P5" s="12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2">
        <v>2019</v>
      </c>
      <c r="AN5" s="12">
        <v>2020</v>
      </c>
      <c r="AO5" s="238"/>
    </row>
    <row r="6" spans="2:44">
      <c r="B6" s="20" t="s">
        <v>6</v>
      </c>
      <c r="C6" s="6">
        <v>29616</v>
      </c>
      <c r="D6" s="5">
        <v>29073</v>
      </c>
      <c r="E6" s="62">
        <f>(D6-C6)/C6</f>
        <v>-1.8334683954619124E-2</v>
      </c>
      <c r="F6" s="9">
        <v>27567</v>
      </c>
      <c r="G6" s="8">
        <v>29622</v>
      </c>
      <c r="H6" s="62">
        <f>(G6-F6)/F6</f>
        <v>7.4545652410490798E-2</v>
      </c>
      <c r="I6" s="9">
        <v>30339</v>
      </c>
      <c r="J6" s="8">
        <v>22143</v>
      </c>
      <c r="K6" s="62">
        <f>(J6-I6)/I6</f>
        <v>-0.27014733511322059</v>
      </c>
      <c r="L6" s="40">
        <v>24982</v>
      </c>
      <c r="M6" s="40">
        <v>105</v>
      </c>
      <c r="N6" s="62">
        <f>(M6-L6)/L6</f>
        <v>-0.99579697382115118</v>
      </c>
      <c r="O6" s="40">
        <v>26102</v>
      </c>
      <c r="P6" s="40">
        <v>8966</v>
      </c>
      <c r="Q6" s="62">
        <f>(P6-O6)/O6</f>
        <v>-0.65650141751589919</v>
      </c>
      <c r="R6" s="40">
        <v>28931</v>
      </c>
      <c r="S6" s="40">
        <v>19130</v>
      </c>
      <c r="T6" s="62">
        <f>(S6-R6)/R6</f>
        <v>-0.33877155991842661</v>
      </c>
      <c r="U6" s="66">
        <v>29457</v>
      </c>
      <c r="V6" s="66">
        <v>18905</v>
      </c>
      <c r="W6" s="62">
        <f>(V6-U6)/U6</f>
        <v>-0.35821706215840038</v>
      </c>
      <c r="X6" s="164">
        <v>29003</v>
      </c>
      <c r="Y6" s="163">
        <v>19545</v>
      </c>
      <c r="Z6" s="62">
        <f>(Y6-X6)/X6</f>
        <v>-0.32610419611764302</v>
      </c>
      <c r="AA6" s="2">
        <v>33120</v>
      </c>
      <c r="AB6" s="81">
        <v>22798</v>
      </c>
      <c r="AC6" s="62">
        <f>(AB6-AA6)/AA6</f>
        <v>-0.31165458937198065</v>
      </c>
      <c r="AD6" s="40">
        <v>35899</v>
      </c>
      <c r="AE6" s="66">
        <v>26793</v>
      </c>
      <c r="AF6" s="62">
        <f>(AE6-AD6)/AD6</f>
        <v>-0.25365609069890527</v>
      </c>
      <c r="AG6" s="66">
        <v>31403</v>
      </c>
      <c r="AH6" s="66">
        <v>25707</v>
      </c>
      <c r="AI6" s="62">
        <f>(AH6-AG6)/AG6</f>
        <v>-0.18138394420915199</v>
      </c>
      <c r="AJ6" s="46">
        <v>28959</v>
      </c>
      <c r="AK6" s="66">
        <v>24784</v>
      </c>
      <c r="AL6" s="62">
        <f>(AK6-AJ6)/AJ6</f>
        <v>-0.14416934286404917</v>
      </c>
      <c r="AM6" s="111">
        <f t="shared" ref="AM6:AN10" si="0">C6+F6+I6+L6+O6+R6+U6+X6+AA6+AD6+AG6+AJ6</f>
        <v>355378</v>
      </c>
      <c r="AN6" s="111">
        <f t="shared" si="0"/>
        <v>247571</v>
      </c>
      <c r="AO6" s="42">
        <f>(AN6-AM6)/AM6</f>
        <v>-0.30335867723944643</v>
      </c>
    </row>
    <row r="7" spans="2:44">
      <c r="B7" s="20" t="s">
        <v>3</v>
      </c>
      <c r="C7" s="7">
        <v>11702</v>
      </c>
      <c r="D7" s="7">
        <v>9776</v>
      </c>
      <c r="E7" s="62">
        <f>(D7-C7)/C7</f>
        <v>-0.16458725004272773</v>
      </c>
      <c r="F7" s="9">
        <v>14123</v>
      </c>
      <c r="G7" s="9">
        <v>11616</v>
      </c>
      <c r="H7" s="62">
        <f>(G7-F7)/F7</f>
        <v>-0.17751186008638392</v>
      </c>
      <c r="I7" s="9">
        <v>15002</v>
      </c>
      <c r="J7" s="9">
        <v>9431</v>
      </c>
      <c r="K7" s="62">
        <f>(J7-I7)/I7</f>
        <v>-0.37135048660178643</v>
      </c>
      <c r="L7" s="40">
        <v>9812</v>
      </c>
      <c r="M7" s="27">
        <v>318</v>
      </c>
      <c r="N7" s="62">
        <f>(M7-L7)/L7</f>
        <v>-0.9675907052588667</v>
      </c>
      <c r="O7" s="40">
        <v>12201</v>
      </c>
      <c r="P7" s="40">
        <v>3071</v>
      </c>
      <c r="Q7" s="62">
        <f>(P7-O7)/O7</f>
        <v>-0.74829931972789121</v>
      </c>
      <c r="R7" s="40">
        <v>14497</v>
      </c>
      <c r="S7" s="40">
        <v>10222</v>
      </c>
      <c r="T7" s="62">
        <f>(S7-R7)/R7</f>
        <v>-0.2948885976408912</v>
      </c>
      <c r="U7" s="66">
        <v>13859</v>
      </c>
      <c r="V7" s="66">
        <v>11123</v>
      </c>
      <c r="W7" s="62">
        <f>(V7-U7)/U7</f>
        <v>-0.19741684104192223</v>
      </c>
      <c r="X7" s="163">
        <v>14055</v>
      </c>
      <c r="Y7" s="163">
        <v>11336</v>
      </c>
      <c r="Z7" s="62">
        <f>(Y7-X7)/X7</f>
        <v>-0.19345428673070081</v>
      </c>
      <c r="AA7" s="40">
        <v>13469</v>
      </c>
      <c r="AB7" s="66">
        <v>12267</v>
      </c>
      <c r="AC7" s="62">
        <f>(AB7-AA7)/AA7</f>
        <v>-8.9241963026208335E-2</v>
      </c>
      <c r="AD7" s="40">
        <v>13361</v>
      </c>
      <c r="AE7" s="66">
        <v>9644</v>
      </c>
      <c r="AF7" s="62">
        <f>(AE7-AD7)/AD7</f>
        <v>-0.27819773969014294</v>
      </c>
      <c r="AG7" s="40">
        <v>10676</v>
      </c>
      <c r="AH7" s="66">
        <v>11243</v>
      </c>
      <c r="AI7" s="62">
        <f>(AH7-AG7)/AG7</f>
        <v>5.3109778943424502E-2</v>
      </c>
      <c r="AJ7" s="46">
        <v>10464</v>
      </c>
      <c r="AK7" s="66">
        <v>10801</v>
      </c>
      <c r="AL7" s="62">
        <f>(AK7-AJ7)/AJ7</f>
        <v>3.2205657492354739E-2</v>
      </c>
      <c r="AM7" s="111">
        <f t="shared" si="0"/>
        <v>153221</v>
      </c>
      <c r="AN7" s="111">
        <f t="shared" si="0"/>
        <v>110848</v>
      </c>
      <c r="AO7" s="42">
        <f>(AN7-AM7)/AM7</f>
        <v>-0.27654825382943593</v>
      </c>
    </row>
    <row r="8" spans="2:44">
      <c r="B8" s="20" t="s">
        <v>4</v>
      </c>
      <c r="C8" s="7">
        <v>1583</v>
      </c>
      <c r="D8" s="7">
        <v>1534</v>
      </c>
      <c r="E8" s="62">
        <f>(D8-C8)/C8</f>
        <v>-3.0953885028427039E-2</v>
      </c>
      <c r="F8" s="9">
        <v>2044</v>
      </c>
      <c r="G8" s="9">
        <v>1994</v>
      </c>
      <c r="H8" s="62">
        <f>(G8-F8)/F8</f>
        <v>-2.446183953033268E-2</v>
      </c>
      <c r="I8" s="9">
        <v>2274</v>
      </c>
      <c r="J8" s="9">
        <v>1891</v>
      </c>
      <c r="K8" s="62">
        <f>(J8-I8)/I8</f>
        <v>-0.16842568161829374</v>
      </c>
      <c r="L8" s="40">
        <v>1931</v>
      </c>
      <c r="M8" s="40">
        <v>80</v>
      </c>
      <c r="N8" s="62">
        <f>(M8-L8)/L8</f>
        <v>-0.95857068876229934</v>
      </c>
      <c r="O8" s="40">
        <v>2066</v>
      </c>
      <c r="P8" s="40">
        <v>803</v>
      </c>
      <c r="Q8" s="62">
        <f>(P8-O8)/O8</f>
        <v>-0.61132623426911903</v>
      </c>
      <c r="R8" s="40">
        <v>2451</v>
      </c>
      <c r="S8" s="40">
        <v>2222</v>
      </c>
      <c r="T8" s="62">
        <f>(S8-R8)/R8</f>
        <v>-9.3431252549979596E-2</v>
      </c>
      <c r="U8" s="66">
        <f>801+527+1297</f>
        <v>2625</v>
      </c>
      <c r="V8" s="66">
        <f>698+458+1165</f>
        <v>2321</v>
      </c>
      <c r="W8" s="62">
        <f>(V8-U8)/U8</f>
        <v>-0.11580952380952381</v>
      </c>
      <c r="X8" s="66">
        <v>2361</v>
      </c>
      <c r="Y8" s="66">
        <v>2577</v>
      </c>
      <c r="Z8" s="62">
        <f>(Y8-X8)/X8</f>
        <v>9.148665819567979E-2</v>
      </c>
      <c r="AA8" s="40">
        <v>2489</v>
      </c>
      <c r="AB8" s="66">
        <v>2294</v>
      </c>
      <c r="AC8" s="62">
        <f>(AB8-AA8)/AA8</f>
        <v>-7.8344716753716348E-2</v>
      </c>
      <c r="AD8" s="40">
        <v>1234</v>
      </c>
      <c r="AE8" s="66">
        <v>1140</v>
      </c>
      <c r="AF8" s="62">
        <f>(AE8-AD8)/AD8</f>
        <v>-7.6175040518638576E-2</v>
      </c>
      <c r="AG8" s="40">
        <v>1180</v>
      </c>
      <c r="AH8" s="66">
        <v>1104</v>
      </c>
      <c r="AI8" s="62">
        <f>(AH8-AG8)/AG8</f>
        <v>-6.4406779661016947E-2</v>
      </c>
      <c r="AJ8" s="46">
        <v>1133</v>
      </c>
      <c r="AK8" s="11">
        <v>875</v>
      </c>
      <c r="AL8" s="62">
        <f>(AK8-AJ8)/AJ8</f>
        <v>-0.22771403353927624</v>
      </c>
      <c r="AM8" s="111">
        <f t="shared" si="0"/>
        <v>23371</v>
      </c>
      <c r="AN8" s="111">
        <f t="shared" si="0"/>
        <v>18835</v>
      </c>
      <c r="AO8" s="42">
        <f>(AN8-AM8)/AM8</f>
        <v>-0.19408668863120962</v>
      </c>
    </row>
    <row r="9" spans="2:44">
      <c r="B9" s="20" t="s">
        <v>5</v>
      </c>
      <c r="C9" s="7">
        <v>55</v>
      </c>
      <c r="D9" s="7">
        <v>30</v>
      </c>
      <c r="E9" s="62">
        <f>(D9-C9)/C9</f>
        <v>-0.45454545454545453</v>
      </c>
      <c r="F9" s="9">
        <v>71</v>
      </c>
      <c r="G9" s="9">
        <v>65</v>
      </c>
      <c r="H9" s="62">
        <f>(G9-F9)/F9</f>
        <v>-8.4507042253521125E-2</v>
      </c>
      <c r="I9" s="9">
        <v>80</v>
      </c>
      <c r="J9" s="9">
        <v>81</v>
      </c>
      <c r="K9" s="62">
        <f>(J9-I9)/I9</f>
        <v>1.2500000000000001E-2</v>
      </c>
      <c r="L9" s="40">
        <v>62</v>
      </c>
      <c r="M9" s="40">
        <v>32</v>
      </c>
      <c r="N9" s="62">
        <f>(M9-L9)/L9</f>
        <v>-0.4838709677419355</v>
      </c>
      <c r="O9" s="40">
        <v>59</v>
      </c>
      <c r="P9" s="40">
        <v>34</v>
      </c>
      <c r="Q9" s="62">
        <f>(P9-O9)/O9</f>
        <v>-0.42372881355932202</v>
      </c>
      <c r="R9" s="11">
        <v>74</v>
      </c>
      <c r="S9" s="11">
        <v>68</v>
      </c>
      <c r="T9" s="62">
        <f>(S9-R9)/R9</f>
        <v>-8.1081081081081086E-2</v>
      </c>
      <c r="U9" s="66">
        <v>101</v>
      </c>
      <c r="V9" s="66">
        <v>47</v>
      </c>
      <c r="W9" s="62">
        <f>(V9-U9)/U9</f>
        <v>-0.53465346534653468</v>
      </c>
      <c r="X9" s="66">
        <v>65</v>
      </c>
      <c r="Y9" s="66">
        <v>57</v>
      </c>
      <c r="Z9" s="62">
        <f>(Y9-X9)/X9</f>
        <v>-0.12307692307692308</v>
      </c>
      <c r="AA9" s="27">
        <v>62</v>
      </c>
      <c r="AB9" s="11">
        <v>44</v>
      </c>
      <c r="AC9" s="62">
        <f>(AB9-AA9)/AA9</f>
        <v>-0.29032258064516131</v>
      </c>
      <c r="AD9" s="27">
        <v>61</v>
      </c>
      <c r="AE9" s="66">
        <v>75</v>
      </c>
      <c r="AF9" s="62">
        <f>(AE9-AD9)/AD9</f>
        <v>0.22950819672131148</v>
      </c>
      <c r="AG9" s="27">
        <v>85</v>
      </c>
      <c r="AH9" s="11">
        <v>45</v>
      </c>
      <c r="AI9" s="62">
        <f>(AH9-AG9)/AG9</f>
        <v>-0.47058823529411764</v>
      </c>
      <c r="AJ9" s="46">
        <v>153</v>
      </c>
      <c r="AK9" s="11">
        <v>100</v>
      </c>
      <c r="AL9" s="62">
        <f>(AK9-AJ9)/AJ9</f>
        <v>-0.34640522875816993</v>
      </c>
      <c r="AM9" s="111">
        <f t="shared" si="0"/>
        <v>928</v>
      </c>
      <c r="AN9" s="111">
        <f t="shared" si="0"/>
        <v>678</v>
      </c>
      <c r="AO9" s="42">
        <f>(AN9-AM9)/AM9</f>
        <v>-0.26939655172413796</v>
      </c>
    </row>
    <row r="10" spans="2:44" s="10" customFormat="1">
      <c r="B10" s="47" t="s">
        <v>7</v>
      </c>
      <c r="C10" s="16">
        <f>SUM(C6:C9)</f>
        <v>42956</v>
      </c>
      <c r="D10" s="16">
        <f>SUM(D6:D9)</f>
        <v>40413</v>
      </c>
      <c r="E10" s="63">
        <f>(D10-C10)/C10</f>
        <v>-5.9200111742247881E-2</v>
      </c>
      <c r="F10" s="16">
        <f>SUM(F6:F9)</f>
        <v>43805</v>
      </c>
      <c r="G10" s="16">
        <f>SUM(G6:G9)</f>
        <v>43297</v>
      </c>
      <c r="H10" s="63">
        <f>(G10-F10)/F10</f>
        <v>-1.1596849674694669E-2</v>
      </c>
      <c r="I10" s="16">
        <f>SUM(I6:I9)</f>
        <v>47695</v>
      </c>
      <c r="J10" s="16">
        <f>SUM(J6:J9)</f>
        <v>33546</v>
      </c>
      <c r="K10" s="63">
        <f>(J10-I10)/I10</f>
        <v>-0.29665583394485795</v>
      </c>
      <c r="L10" s="41">
        <f>SUM(L6:L9)</f>
        <v>36787</v>
      </c>
      <c r="M10" s="16">
        <f>SUM(M6:M9)</f>
        <v>535</v>
      </c>
      <c r="N10" s="63">
        <f>(M10-L10)/L10</f>
        <v>-0.98545681898496751</v>
      </c>
      <c r="O10" s="41">
        <f>SUM(O6:O9)</f>
        <v>40428</v>
      </c>
      <c r="P10" s="16">
        <f>SUM(P6:P9)</f>
        <v>12874</v>
      </c>
      <c r="Q10" s="63">
        <f>(P10-O10)/O10</f>
        <v>-0.68155733649945582</v>
      </c>
      <c r="R10" s="16">
        <f>SUM(R6:R9)</f>
        <v>45953</v>
      </c>
      <c r="S10" s="16">
        <f>SUM(S6:S9)</f>
        <v>31642</v>
      </c>
      <c r="T10" s="63">
        <f>(S10-R10)/R10</f>
        <v>-0.3114268926947098</v>
      </c>
      <c r="U10" s="67">
        <f t="shared" ref="U10:AK10" si="1">SUM(U6:U9)</f>
        <v>46042</v>
      </c>
      <c r="V10" s="67">
        <f t="shared" si="1"/>
        <v>32396</v>
      </c>
      <c r="W10" s="63">
        <f>(V10-U10)/U10</f>
        <v>-0.29638156465835541</v>
      </c>
      <c r="X10" s="67">
        <f t="shared" si="1"/>
        <v>45484</v>
      </c>
      <c r="Y10" s="67">
        <f t="shared" si="1"/>
        <v>33515</v>
      </c>
      <c r="Z10" s="63">
        <f>(Y10-X10)/X10</f>
        <v>-0.2631474804326796</v>
      </c>
      <c r="AA10" s="67">
        <f t="shared" si="1"/>
        <v>49140</v>
      </c>
      <c r="AB10" s="67">
        <f t="shared" si="1"/>
        <v>37403</v>
      </c>
      <c r="AC10" s="63">
        <f>(AB10-AA10)/AA10</f>
        <v>-0.23884818884818884</v>
      </c>
      <c r="AD10" s="67">
        <f t="shared" si="1"/>
        <v>50555</v>
      </c>
      <c r="AE10" s="67">
        <f t="shared" si="1"/>
        <v>37652</v>
      </c>
      <c r="AF10" s="63">
        <f>(AE10-AD10)/AD10</f>
        <v>-0.25522698051626941</v>
      </c>
      <c r="AG10" s="67">
        <f t="shared" si="1"/>
        <v>43344</v>
      </c>
      <c r="AH10" s="67">
        <f t="shared" si="1"/>
        <v>38099</v>
      </c>
      <c r="AI10" s="63">
        <f>(AH10-AG10)/AG10</f>
        <v>-0.12100867478774456</v>
      </c>
      <c r="AJ10" s="187">
        <f t="shared" si="1"/>
        <v>40709</v>
      </c>
      <c r="AK10" s="187">
        <f t="shared" si="1"/>
        <v>36560</v>
      </c>
      <c r="AL10" s="63">
        <f>(AK10-AJ10)/AJ10</f>
        <v>-0.1019184946817657</v>
      </c>
      <c r="AM10" s="111">
        <f t="shared" si="0"/>
        <v>532898</v>
      </c>
      <c r="AN10" s="111">
        <f t="shared" si="0"/>
        <v>377932</v>
      </c>
      <c r="AO10" s="39">
        <f>(AN10-AM10)/AM10</f>
        <v>-0.29079861436897869</v>
      </c>
      <c r="AQ10" s="25"/>
      <c r="AR10" s="24"/>
    </row>
    <row r="12" spans="2:44">
      <c r="B12" s="25" t="s">
        <v>33</v>
      </c>
      <c r="C12" s="86" t="s">
        <v>53</v>
      </c>
    </row>
    <row r="13" spans="2:44">
      <c r="C13" s="86" t="s">
        <v>140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179"/>
      <c r="AH13" s="179"/>
      <c r="AI13" s="26"/>
      <c r="AM13" s="184"/>
    </row>
    <row r="14" spans="2:44">
      <c r="C14" s="26"/>
      <c r="D14" s="26"/>
      <c r="E14" s="26"/>
      <c r="F14" s="26"/>
      <c r="G14" s="26"/>
    </row>
    <row r="15" spans="2:44"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2:44">
      <c r="C16" s="27"/>
      <c r="D16" s="27"/>
      <c r="E16" s="27"/>
      <c r="F16" s="27"/>
      <c r="G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3:35">
      <c r="C17" s="27"/>
      <c r="D17" s="27"/>
      <c r="E17" s="27"/>
      <c r="F17" s="27"/>
      <c r="G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3:35">
      <c r="C18" s="27"/>
      <c r="D18" s="27"/>
      <c r="E18" s="27"/>
      <c r="F18" s="27"/>
      <c r="G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3:35">
      <c r="C19" s="27"/>
      <c r="D19" s="27"/>
      <c r="E19" s="27"/>
      <c r="F19" s="27"/>
      <c r="G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3:35">
      <c r="C20" s="27"/>
      <c r="D20" s="27"/>
      <c r="E20" s="27"/>
      <c r="F20" s="27"/>
      <c r="G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3:35">
      <c r="C21" s="27"/>
      <c r="D21" s="27"/>
      <c r="E21" s="27"/>
      <c r="F21" s="27"/>
      <c r="G21" s="27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C12" r:id="rId1" xr:uid="{6AAF584C-BBB2-49CA-84A7-F0DF11060BA2}"/>
    <hyperlink ref="C13" r:id="rId2" xr:uid="{BB838632-72F6-404E-AD42-D99794725A60}"/>
  </hyperlinks>
  <pageMargins left="0.7" right="0.7" top="0.78740157499999996" bottom="0.78740157499999996" header="0.3" footer="0.3"/>
  <pageSetup paperSize="9" orientation="portrait" verticalDpi="0" r:id="rId3"/>
  <ignoredErrors>
    <ignoredError sqref="N10 E10 Q10 T10 W10 Z10 AC10 AI10" formula="1"/>
    <ignoredError sqref="F10:G10 I10:J10 L10:M10 C10:D10 O10:P10 R10:S10 X10:Y10 AA10:AB10 AD10:AE10 AG10:AH10 AJ10:AK10" formulaRange="1"/>
    <ignoredError sqref="H10 K10" formula="1" formulaRange="1"/>
    <ignoredError sqref="Z8 AC8 AF7:AF9 AI9 AL6:AL10" evalError="1"/>
    <ignoredError sqref="AF10" evalError="1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6B7D-A822-4DF4-904D-71207FDD0198}">
  <dimension ref="A1:AR21"/>
  <sheetViews>
    <sheetView topLeftCell="B1" zoomScaleNormal="100" workbookViewId="0">
      <pane xSplit="1" topLeftCell="AE1" activePane="topRight" state="frozen"/>
      <selection activeCell="B1" sqref="B1"/>
      <selection pane="topRight" activeCell="AM13" sqref="AM13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3" width="8.7109375" style="25" customWidth="1"/>
    <col min="4" max="4" width="9" style="25" customWidth="1"/>
    <col min="5" max="5" width="11.5703125" style="25" customWidth="1"/>
    <col min="6" max="6" width="9.140625" style="25" customWidth="1"/>
    <col min="7" max="7" width="10.140625" style="25" customWidth="1"/>
    <col min="8" max="8" width="10.85546875" style="25" customWidth="1"/>
    <col min="9" max="9" width="9.7109375" style="25" customWidth="1"/>
    <col min="10" max="10" width="9.42578125" style="25" customWidth="1"/>
    <col min="11" max="12" width="10" style="25" customWidth="1"/>
    <col min="13" max="13" width="9.7109375" style="25" customWidth="1"/>
    <col min="14" max="14" width="11.140625" style="25" customWidth="1"/>
    <col min="15" max="15" width="8.85546875" style="25" customWidth="1"/>
    <col min="16" max="16" width="10.42578125" style="25" customWidth="1"/>
    <col min="17" max="17" width="10.140625" style="25" bestFit="1" customWidth="1"/>
    <col min="18" max="18" width="10.42578125" style="25" customWidth="1"/>
    <col min="19" max="19" width="11.42578125" style="25" customWidth="1"/>
    <col min="20" max="20" width="11.42578125" style="25"/>
    <col min="21" max="21" width="10.42578125" style="25" customWidth="1"/>
    <col min="22" max="22" width="10.5703125" style="25" customWidth="1"/>
    <col min="23" max="24" width="11.42578125" style="25"/>
    <col min="25" max="25" width="11.42578125" style="25" customWidth="1"/>
    <col min="26" max="16384" width="11.42578125" style="25"/>
  </cols>
  <sheetData>
    <row r="1" spans="2:44">
      <c r="B1" s="10" t="s">
        <v>73</v>
      </c>
    </row>
    <row r="2" spans="2:44">
      <c r="B2" s="53"/>
      <c r="S2" s="27"/>
    </row>
    <row r="4" spans="2:44" ht="45" customHeight="1">
      <c r="B4" s="11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1" t="s">
        <v>29</v>
      </c>
      <c r="AN4" s="232"/>
      <c r="AO4" s="237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8" t="s">
        <v>34</v>
      </c>
      <c r="I5" s="12">
        <v>2019</v>
      </c>
      <c r="J5" s="12">
        <v>2020</v>
      </c>
      <c r="K5" s="28" t="s">
        <v>34</v>
      </c>
      <c r="L5" s="12">
        <v>2019</v>
      </c>
      <c r="M5" s="12">
        <v>2020</v>
      </c>
      <c r="N5" s="28" t="s">
        <v>34</v>
      </c>
      <c r="O5" s="12">
        <v>2019</v>
      </c>
      <c r="P5" s="12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2">
        <v>2019</v>
      </c>
      <c r="AN5" s="12">
        <v>2020</v>
      </c>
      <c r="AO5" s="238"/>
    </row>
    <row r="6" spans="2:44">
      <c r="B6" s="20" t="s">
        <v>6</v>
      </c>
      <c r="C6" s="40">
        <v>93538</v>
      </c>
      <c r="D6" s="40">
        <v>86442</v>
      </c>
      <c r="E6" s="62">
        <f>(D6-C6)/C6</f>
        <v>-7.5862216425409995E-2</v>
      </c>
      <c r="F6" s="40">
        <v>100693</v>
      </c>
      <c r="G6" s="40">
        <v>94618</v>
      </c>
      <c r="H6" s="62">
        <f>(G6-F6)/F6</f>
        <v>-6.0331899933461115E-2</v>
      </c>
      <c r="I6" s="40">
        <v>122659</v>
      </c>
      <c r="J6" s="40">
        <v>37642</v>
      </c>
      <c r="K6" s="62">
        <f>(J6-I6)/I6</f>
        <v>-0.69311668935830228</v>
      </c>
      <c r="L6" s="40">
        <v>119417</v>
      </c>
      <c r="M6" s="40">
        <v>4163</v>
      </c>
      <c r="N6" s="62">
        <f>(M6-L6)/L6</f>
        <v>-0.9651389668137702</v>
      </c>
      <c r="O6" s="40">
        <v>125623</v>
      </c>
      <c r="P6" s="40">
        <v>34337</v>
      </c>
      <c r="Q6" s="62">
        <f>(P6-O6)/O6</f>
        <v>-0.72666629518479897</v>
      </c>
      <c r="R6" s="40">
        <v>130513</v>
      </c>
      <c r="S6" s="40">
        <v>82651</v>
      </c>
      <c r="T6" s="62">
        <f>(S6-R6)/R6</f>
        <v>-0.36672208898730396</v>
      </c>
      <c r="U6" s="40">
        <v>116673</v>
      </c>
      <c r="V6" s="66">
        <v>117929</v>
      </c>
      <c r="W6" s="62">
        <f>(V6-U6)/U6</f>
        <v>1.0765129892948668E-2</v>
      </c>
      <c r="X6" s="40">
        <v>74424</v>
      </c>
      <c r="Y6" s="66">
        <v>66925</v>
      </c>
      <c r="Z6" s="62">
        <f>(Y6-X6)/X6</f>
        <v>-0.10076050736321616</v>
      </c>
      <c r="AA6" s="40">
        <v>81746</v>
      </c>
      <c r="AB6" s="66">
        <v>70729</v>
      </c>
      <c r="AC6" s="62">
        <f>(AB6-AA6)/AA6</f>
        <v>-0.1347711202994642</v>
      </c>
      <c r="AD6" s="40">
        <v>93954</v>
      </c>
      <c r="AE6" s="66">
        <v>74228</v>
      </c>
      <c r="AF6" s="62">
        <f>(AE6-AD6)/AD6</f>
        <v>-0.20995380718223811</v>
      </c>
      <c r="AG6" s="40">
        <v>93155</v>
      </c>
      <c r="AH6" s="66">
        <v>75708</v>
      </c>
      <c r="AI6" s="62">
        <f>(AH6-AG6)/AG6</f>
        <v>-0.18729000053673983</v>
      </c>
      <c r="AJ6" s="46">
        <v>105854</v>
      </c>
      <c r="AK6" s="66">
        <v>105841</v>
      </c>
      <c r="AL6" s="62">
        <f>(AK6-AJ6)/AJ6</f>
        <v>-1.2281066374440267E-4</v>
      </c>
      <c r="AM6" s="67">
        <f t="shared" ref="AM6:AN10" si="0">C6+F6+I6+L6+O6+R6+U6+X6+AA6+AD6+AG6+AJ6</f>
        <v>1258249</v>
      </c>
      <c r="AN6" s="67">
        <f t="shared" si="0"/>
        <v>851213</v>
      </c>
      <c r="AO6" s="42">
        <f>(AN6-AM6)/AM6</f>
        <v>-0.32349399840572096</v>
      </c>
    </row>
    <row r="7" spans="2:44">
      <c r="B7" s="20" t="s">
        <v>3</v>
      </c>
      <c r="C7" s="40">
        <v>17387</v>
      </c>
      <c r="D7" s="40">
        <v>13867</v>
      </c>
      <c r="E7" s="62">
        <f>(D7-C7)/C7</f>
        <v>-0.20245010640133432</v>
      </c>
      <c r="F7" s="40">
        <v>16738</v>
      </c>
      <c r="G7" s="40">
        <v>15748</v>
      </c>
      <c r="H7" s="62">
        <f>(G7-F7)/F7</f>
        <v>-5.9146851475684069E-2</v>
      </c>
      <c r="I7" s="40">
        <v>20461</v>
      </c>
      <c r="J7" s="40">
        <v>6708</v>
      </c>
      <c r="K7" s="62">
        <f>(J7-I7)/I7</f>
        <v>-0.67215678608083673</v>
      </c>
      <c r="L7" s="40">
        <v>20316</v>
      </c>
      <c r="M7" s="27">
        <v>1823</v>
      </c>
      <c r="N7" s="62">
        <f>(M7-L7)/L7</f>
        <v>-0.91026776924591457</v>
      </c>
      <c r="O7" s="40">
        <v>20746</v>
      </c>
      <c r="P7" s="40">
        <v>8574</v>
      </c>
      <c r="Q7" s="62">
        <f>(P7-O7)/O7</f>
        <v>-0.58671551142388889</v>
      </c>
      <c r="R7" s="40">
        <v>20276</v>
      </c>
      <c r="S7" s="40">
        <v>16268</v>
      </c>
      <c r="T7" s="62">
        <f>(S7-R7)/R7</f>
        <v>-0.19767212467942394</v>
      </c>
      <c r="U7" s="40">
        <v>19955</v>
      </c>
      <c r="V7" s="66">
        <v>20535</v>
      </c>
      <c r="W7" s="62">
        <f>(V7-U7)/U7</f>
        <v>2.9065397143573039E-2</v>
      </c>
      <c r="X7" s="40">
        <v>15402</v>
      </c>
      <c r="Y7" s="66">
        <v>11637</v>
      </c>
      <c r="Z7" s="62">
        <f>(Y7-X7)/X7</f>
        <v>-0.2444487728866381</v>
      </c>
      <c r="AA7" s="40">
        <v>13225</v>
      </c>
      <c r="AB7" s="66">
        <v>14184</v>
      </c>
      <c r="AC7" s="62">
        <f>(AB7-AA7)/AA7</f>
        <v>7.2514177693761811E-2</v>
      </c>
      <c r="AD7" s="40">
        <v>17248</v>
      </c>
      <c r="AE7" s="66">
        <v>16574</v>
      </c>
      <c r="AF7" s="62">
        <f>(AE7-AD7)/AD7</f>
        <v>-3.9076994434137292E-2</v>
      </c>
      <c r="AG7" s="40">
        <v>16997</v>
      </c>
      <c r="AH7" s="66">
        <v>15627</v>
      </c>
      <c r="AI7" s="62">
        <f>(AH7-AG7)/AG7</f>
        <v>-8.0602459257516038E-2</v>
      </c>
      <c r="AJ7" s="46">
        <v>16373</v>
      </c>
      <c r="AK7" s="66">
        <v>16626</v>
      </c>
      <c r="AL7" s="62">
        <f>(AK7-AJ7)/AJ7</f>
        <v>1.5452268979417334E-2</v>
      </c>
      <c r="AM7" s="67">
        <f t="shared" si="0"/>
        <v>215124</v>
      </c>
      <c r="AN7" s="67">
        <f t="shared" si="0"/>
        <v>158171</v>
      </c>
      <c r="AO7" s="42">
        <f>(AN7-AM7)/AM7</f>
        <v>-0.26474498428813148</v>
      </c>
    </row>
    <row r="8" spans="2:44">
      <c r="B8" s="20" t="s">
        <v>4</v>
      </c>
      <c r="C8" s="40">
        <v>2512</v>
      </c>
      <c r="D8" s="40">
        <v>2138</v>
      </c>
      <c r="E8" s="62">
        <f>(D8-C8)/C8</f>
        <v>-0.14888535031847133</v>
      </c>
      <c r="F8" s="40">
        <v>1736</v>
      </c>
      <c r="G8" s="40">
        <v>1747</v>
      </c>
      <c r="H8" s="62">
        <f>(G8-F8)/F8</f>
        <v>6.3364055299539174E-3</v>
      </c>
      <c r="I8" s="40">
        <v>1762</v>
      </c>
      <c r="J8" s="40">
        <v>1219</v>
      </c>
      <c r="K8" s="62">
        <f>(J8-I8)/I8</f>
        <v>-0.30817253121452892</v>
      </c>
      <c r="L8" s="40">
        <v>1691</v>
      </c>
      <c r="M8" s="40">
        <v>848</v>
      </c>
      <c r="N8" s="62">
        <f>(M8-L8)/L8</f>
        <v>-0.49852158486102899</v>
      </c>
      <c r="O8" s="40">
        <v>2246</v>
      </c>
      <c r="P8" s="40">
        <v>924</v>
      </c>
      <c r="Q8" s="62">
        <f>(P8-O8)/O8</f>
        <v>-0.58860195903829027</v>
      </c>
      <c r="R8" s="40">
        <v>2867</v>
      </c>
      <c r="S8" s="66">
        <v>1299</v>
      </c>
      <c r="T8" s="62">
        <f>(S8-R8)/R8</f>
        <v>-0.54691314963376347</v>
      </c>
      <c r="U8" s="40">
        <v>1559</v>
      </c>
      <c r="V8" s="66">
        <v>1607</v>
      </c>
      <c r="W8" s="62">
        <f>(V8-U8)/U8</f>
        <v>3.0788967286722257E-2</v>
      </c>
      <c r="X8" s="40">
        <v>1142</v>
      </c>
      <c r="Y8" s="66">
        <v>1118</v>
      </c>
      <c r="Z8" s="62">
        <f>(Y8-X8)/X8</f>
        <v>-2.1015761821366025E-2</v>
      </c>
      <c r="AA8" s="88">
        <v>1394</v>
      </c>
      <c r="AB8" s="66">
        <v>1560</v>
      </c>
      <c r="AC8" s="62">
        <f>(AB8-AA8)/AA8</f>
        <v>0.11908177905308465</v>
      </c>
      <c r="AD8" s="40">
        <v>3536</v>
      </c>
      <c r="AE8" s="66">
        <v>2572</v>
      </c>
      <c r="AF8" s="62">
        <f>(AE8-AD8)/AD8</f>
        <v>-0.27262443438914025</v>
      </c>
      <c r="AG8" s="90">
        <v>2495</v>
      </c>
      <c r="AH8" s="66">
        <v>2470</v>
      </c>
      <c r="AI8" s="62">
        <f>(AH8-AG8)/AG8</f>
        <v>-1.002004008016032E-2</v>
      </c>
      <c r="AJ8" s="46">
        <v>1417</v>
      </c>
      <c r="AK8" s="66">
        <v>1474</v>
      </c>
      <c r="AL8" s="62">
        <f>(AK8-AJ8)/AJ8</f>
        <v>4.0225829216654907E-2</v>
      </c>
      <c r="AM8" s="67">
        <f t="shared" si="0"/>
        <v>24357</v>
      </c>
      <c r="AN8" s="67">
        <f t="shared" si="0"/>
        <v>18976</v>
      </c>
      <c r="AO8" s="42">
        <f>(AN8-AM8)/AM8</f>
        <v>-0.22092211684526009</v>
      </c>
    </row>
    <row r="9" spans="2:44">
      <c r="B9" s="20" t="s">
        <v>5</v>
      </c>
      <c r="C9" s="40">
        <v>325</v>
      </c>
      <c r="D9" s="40">
        <v>314</v>
      </c>
      <c r="E9" s="62">
        <f>(D9-C9)/C9</f>
        <v>-3.3846153846153845E-2</v>
      </c>
      <c r="F9" s="40">
        <v>306</v>
      </c>
      <c r="G9" s="40">
        <v>179</v>
      </c>
      <c r="H9" s="62">
        <f>(G9-F9)/F9</f>
        <v>-0.41503267973856212</v>
      </c>
      <c r="I9" s="40">
        <v>311</v>
      </c>
      <c r="J9" s="40">
        <v>97</v>
      </c>
      <c r="K9" s="62">
        <f>(J9-I9)/I9</f>
        <v>-0.68810289389067525</v>
      </c>
      <c r="L9" s="40">
        <v>305</v>
      </c>
      <c r="M9" s="40">
        <v>56</v>
      </c>
      <c r="N9" s="62">
        <f>(M9-L9)/L9</f>
        <v>-0.81639344262295077</v>
      </c>
      <c r="O9" s="40">
        <v>356</v>
      </c>
      <c r="P9" s="40">
        <v>85</v>
      </c>
      <c r="Q9" s="62">
        <f>(P9-O9)/O9</f>
        <v>-0.7612359550561798</v>
      </c>
      <c r="R9" s="11">
        <v>222</v>
      </c>
      <c r="S9" s="11">
        <v>138</v>
      </c>
      <c r="T9" s="62">
        <f>(S9-R9)/R9</f>
        <v>-0.3783783783783784</v>
      </c>
      <c r="U9" s="11">
        <v>193</v>
      </c>
      <c r="V9" s="66">
        <v>189</v>
      </c>
      <c r="W9" s="62">
        <f>(V9-U9)/U9</f>
        <v>-2.072538860103627E-2</v>
      </c>
      <c r="X9" s="40">
        <v>144</v>
      </c>
      <c r="Y9" s="11">
        <v>95</v>
      </c>
      <c r="Z9" s="62">
        <f>(Y9-X9)/X9</f>
        <v>-0.34027777777777779</v>
      </c>
      <c r="AA9" s="170">
        <v>419</v>
      </c>
      <c r="AB9" s="11">
        <v>246</v>
      </c>
      <c r="AC9" s="62">
        <f>(AB9-AA9)/AA9</f>
        <v>-0.41288782816229119</v>
      </c>
      <c r="AD9" s="27">
        <v>328</v>
      </c>
      <c r="AE9" s="66">
        <v>205</v>
      </c>
      <c r="AF9" s="62">
        <f>(AE9-AD9)/AD9</f>
        <v>-0.375</v>
      </c>
      <c r="AG9" s="101">
        <v>207</v>
      </c>
      <c r="AH9" s="66">
        <v>223</v>
      </c>
      <c r="AI9" s="62">
        <f>(AH9-AG9)/AG9</f>
        <v>7.7294685990338161E-2</v>
      </c>
      <c r="AJ9" s="46">
        <v>257.22500000000002</v>
      </c>
      <c r="AK9" s="11">
        <v>283</v>
      </c>
      <c r="AL9" s="62">
        <f>(AK9-AJ9)/AJ9</f>
        <v>0.10020410146758664</v>
      </c>
      <c r="AM9" s="67">
        <f t="shared" si="0"/>
        <v>3373.2249999999999</v>
      </c>
      <c r="AN9" s="67">
        <f t="shared" si="0"/>
        <v>2110</v>
      </c>
      <c r="AO9" s="42">
        <f>(AN9-AM9)/AM9</f>
        <v>-0.37448584070140589</v>
      </c>
    </row>
    <row r="10" spans="2:44" s="10" customFormat="1">
      <c r="B10" s="47" t="s">
        <v>7</v>
      </c>
      <c r="C10" s="16">
        <f>SUM(C6:C9)</f>
        <v>113762</v>
      </c>
      <c r="D10" s="16">
        <f>SUM(D6:D9)</f>
        <v>102761</v>
      </c>
      <c r="E10" s="63">
        <f>(D10-C10)/C10</f>
        <v>-9.6701886394402345E-2</v>
      </c>
      <c r="F10" s="16">
        <f>SUM(F6:F9)</f>
        <v>119473</v>
      </c>
      <c r="G10" s="16">
        <f>SUM(G6:G9)</f>
        <v>112292</v>
      </c>
      <c r="H10" s="63">
        <f>(G10-F10)/F10</f>
        <v>-6.0105630560879864E-2</v>
      </c>
      <c r="I10" s="16">
        <f>SUM(I6:I9)</f>
        <v>145193</v>
      </c>
      <c r="J10" s="16">
        <f>SUM(J6:J9)</f>
        <v>45666</v>
      </c>
      <c r="K10" s="63">
        <f>(J10-I10)/I10</f>
        <v>-0.68548070499266489</v>
      </c>
      <c r="L10" s="41">
        <f>SUM(L6:L9)</f>
        <v>141729</v>
      </c>
      <c r="M10" s="16">
        <f>SUM(M6:M9)</f>
        <v>6890</v>
      </c>
      <c r="N10" s="63">
        <f>(M10-L10)/L10</f>
        <v>-0.95138609600011292</v>
      </c>
      <c r="O10" s="16">
        <f>SUM(O6:O9)</f>
        <v>148971</v>
      </c>
      <c r="P10" s="16">
        <f>SUM(P6:P9)</f>
        <v>43920</v>
      </c>
      <c r="Q10" s="63">
        <f>(P10-O10)/O10</f>
        <v>-0.70517751777191529</v>
      </c>
      <c r="R10" s="16">
        <f>SUM(R6:R9)</f>
        <v>153878</v>
      </c>
      <c r="S10" s="16">
        <f>SUM(S6:S9)</f>
        <v>100356</v>
      </c>
      <c r="T10" s="63">
        <f>(S10-R10)/R10</f>
        <v>-0.34782100105278208</v>
      </c>
      <c r="U10" s="67">
        <f>SUM(U6:U9)</f>
        <v>138380</v>
      </c>
      <c r="V10" s="67">
        <f>SUM(V6:V9)</f>
        <v>140260</v>
      </c>
      <c r="W10" s="63">
        <f>(V10-U10)/U10</f>
        <v>1.3585778291660645E-2</v>
      </c>
      <c r="X10" s="67">
        <f>SUM(X6:X9)</f>
        <v>91112</v>
      </c>
      <c r="Y10" s="67">
        <f>SUM(Y6:Y9)</f>
        <v>79775</v>
      </c>
      <c r="Z10" s="63">
        <f>(Y10-X10)/X10</f>
        <v>-0.12442927386074282</v>
      </c>
      <c r="AA10" s="67">
        <f>SUM(AA6:AA9)</f>
        <v>96784</v>
      </c>
      <c r="AB10" s="67">
        <f>SUM(AB6:AB9)</f>
        <v>86719</v>
      </c>
      <c r="AC10" s="63">
        <f>(AB10-AA10)/AA10</f>
        <v>-0.10399446189452802</v>
      </c>
      <c r="AD10" s="67">
        <f>SUM(AD6:AD9)</f>
        <v>115066</v>
      </c>
      <c r="AE10" s="67">
        <f>SUM(AE6:AE9)</f>
        <v>93579</v>
      </c>
      <c r="AF10" s="63">
        <f>(AE10-AD10)/AD10</f>
        <v>-0.18673630785809883</v>
      </c>
      <c r="AG10" s="67">
        <f>SUM(AG6:AG9)</f>
        <v>112854</v>
      </c>
      <c r="AH10" s="67">
        <f>SUM(AH6:AH9)</f>
        <v>94028</v>
      </c>
      <c r="AI10" s="63">
        <f>(AH10-AG10)/AG10</f>
        <v>-0.16681730377301646</v>
      </c>
      <c r="AJ10" s="187">
        <f>SUM(AJ6:AJ9)</f>
        <v>123901.22500000001</v>
      </c>
      <c r="AK10" s="187">
        <f>SUM(AK6:AK9)</f>
        <v>124224</v>
      </c>
      <c r="AL10" s="63">
        <f>(AK10-AJ10)/AJ10</f>
        <v>2.6050993442558309E-3</v>
      </c>
      <c r="AM10" s="67">
        <f t="shared" si="0"/>
        <v>1501103.2250000001</v>
      </c>
      <c r="AN10" s="67">
        <f t="shared" si="0"/>
        <v>1030470</v>
      </c>
      <c r="AO10" s="39">
        <f>(AN10-AM10)/AM10</f>
        <v>-0.31352489100141667</v>
      </c>
      <c r="AQ10" s="25"/>
      <c r="AR10" s="24"/>
    </row>
    <row r="12" spans="2:44">
      <c r="B12" s="55" t="s">
        <v>74</v>
      </c>
      <c r="C12" s="86" t="s">
        <v>132</v>
      </c>
      <c r="Z12" s="81"/>
      <c r="AA12" s="81"/>
      <c r="AB12" s="81"/>
      <c r="AC12" s="81"/>
      <c r="AD12" s="81"/>
    </row>
    <row r="13" spans="2:44">
      <c r="W13" s="26"/>
      <c r="X13" s="26"/>
      <c r="Y13" s="26"/>
      <c r="Z13" s="81"/>
      <c r="AA13" s="81"/>
      <c r="AB13" s="81"/>
      <c r="AC13" s="81"/>
      <c r="AD13" s="81"/>
      <c r="AE13" s="81"/>
      <c r="AF13" s="26"/>
      <c r="AG13" s="26"/>
      <c r="AH13" s="26"/>
      <c r="AI13" s="26"/>
      <c r="AM13" s="184"/>
    </row>
    <row r="14" spans="2:44">
      <c r="C14" s="26"/>
      <c r="D14" s="26"/>
      <c r="E14" s="26"/>
      <c r="F14" s="26"/>
      <c r="G14" s="26"/>
    </row>
    <row r="15" spans="2:44"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2:44">
      <c r="C16" s="27"/>
      <c r="D16" s="27"/>
      <c r="E16" s="27"/>
      <c r="F16" s="27"/>
      <c r="G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3:35">
      <c r="C17" s="27"/>
      <c r="D17" s="27"/>
      <c r="E17" s="27"/>
      <c r="F17" s="27"/>
      <c r="G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3:35">
      <c r="C18" s="27"/>
      <c r="D18" s="27"/>
      <c r="E18" s="27"/>
      <c r="F18" s="27"/>
      <c r="G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3:35">
      <c r="C19" s="27"/>
      <c r="D19" s="27"/>
      <c r="E19" s="27"/>
      <c r="F19" s="27"/>
      <c r="G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3:35">
      <c r="C20" s="27"/>
      <c r="D20" s="27"/>
      <c r="E20" s="27"/>
      <c r="F20" s="27"/>
      <c r="G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3:35">
      <c r="C21" s="27"/>
      <c r="D21" s="27"/>
      <c r="E21" s="27"/>
      <c r="F21" s="27"/>
      <c r="G21" s="27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C12" r:id="rId1" xr:uid="{8D2A594C-A5A6-4446-8060-DABD34CC265C}"/>
  </hyperlinks>
  <pageMargins left="0.7" right="0.7" top="0.78740157499999996" bottom="0.78740157499999996" header="0.3" footer="0.3"/>
  <pageSetup paperSize="9" orientation="portrait" r:id="rId2"/>
  <ignoredErrors>
    <ignoredError sqref="C10:D10 L10:M10 R10:S10 U10:V10 X10:Y10 AA10:AB10 AD10:AE10 AG10:AH10 AJ10:AK10" formulaRange="1"/>
    <ignoredError sqref="E10 H10 K10 N10 Q10 T10 W10 Z10 AI10" formula="1"/>
    <ignoredError sqref="F10:G10 I10:J10 O10:P10" formula="1" formulaRange="1"/>
    <ignoredError sqref="T7:T9 Z6:Z8 AC7:AC9 AF6:AF9 AI7:AI9 AL6:AL10" evalError="1"/>
    <ignoredError sqref="AC10 AF10" evalError="1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3F776-42E0-43B7-9F19-6C459E8601FA}">
  <dimension ref="A1:AR21"/>
  <sheetViews>
    <sheetView topLeftCell="B1" zoomScaleNormal="100" workbookViewId="0">
      <pane xSplit="1" topLeftCell="AE1" activePane="topRight" state="frozen"/>
      <selection activeCell="B1" sqref="B1"/>
      <selection pane="topRight" activeCell="AM13" sqref="AM13"/>
    </sheetView>
  </sheetViews>
  <sheetFormatPr baseColWidth="10" defaultColWidth="11.42578125" defaultRowHeight="15"/>
  <cols>
    <col min="1" max="1" width="57" style="64" hidden="1" customWidth="1"/>
    <col min="2" max="2" width="19.28515625" style="64" customWidth="1"/>
    <col min="3" max="3" width="8.7109375" style="64" customWidth="1"/>
    <col min="4" max="4" width="9" style="64" customWidth="1"/>
    <col min="5" max="5" width="11.5703125" style="64" customWidth="1"/>
    <col min="6" max="6" width="9.140625" style="64" customWidth="1"/>
    <col min="7" max="7" width="10.140625" style="64" customWidth="1"/>
    <col min="8" max="8" width="10.85546875" style="64" customWidth="1"/>
    <col min="9" max="9" width="9.7109375" style="64" customWidth="1"/>
    <col min="10" max="10" width="9.42578125" style="64" customWidth="1"/>
    <col min="11" max="12" width="10" style="64" customWidth="1"/>
    <col min="13" max="13" width="9.7109375" style="64" customWidth="1"/>
    <col min="14" max="14" width="11.140625" style="64" customWidth="1"/>
    <col min="15" max="15" width="8.85546875" style="64" customWidth="1"/>
    <col min="16" max="16" width="10.42578125" style="64" customWidth="1"/>
    <col min="17" max="17" width="10.140625" style="64" bestFit="1" customWidth="1"/>
    <col min="18" max="18" width="10.42578125" style="64" customWidth="1"/>
    <col min="19" max="19" width="11.42578125" style="64" customWidth="1"/>
    <col min="20" max="20" width="11.42578125" style="64"/>
    <col min="21" max="21" width="10.42578125" style="64" customWidth="1"/>
    <col min="22" max="22" width="10.5703125" style="64" customWidth="1"/>
    <col min="23" max="16384" width="11.42578125" style="64"/>
  </cols>
  <sheetData>
    <row r="1" spans="2:44">
      <c r="B1" s="70" t="s">
        <v>75</v>
      </c>
    </row>
    <row r="2" spans="2:44">
      <c r="B2" s="87"/>
      <c r="S2" s="81"/>
    </row>
    <row r="4" spans="2:44" ht="45" customHeight="1">
      <c r="B4" s="65"/>
      <c r="C4" s="233" t="s">
        <v>8</v>
      </c>
      <c r="D4" s="233"/>
      <c r="E4" s="85" t="s">
        <v>30</v>
      </c>
      <c r="F4" s="233" t="s">
        <v>9</v>
      </c>
      <c r="G4" s="233"/>
      <c r="H4" s="83" t="s">
        <v>30</v>
      </c>
      <c r="I4" s="233" t="s">
        <v>10</v>
      </c>
      <c r="J4" s="233"/>
      <c r="K4" s="83" t="s">
        <v>30</v>
      </c>
      <c r="L4" s="233" t="s">
        <v>11</v>
      </c>
      <c r="M4" s="233"/>
      <c r="N4" s="82" t="s">
        <v>30</v>
      </c>
      <c r="O4" s="233" t="s">
        <v>0</v>
      </c>
      <c r="P4" s="233"/>
      <c r="Q4" s="83" t="s">
        <v>30</v>
      </c>
      <c r="R4" s="233" t="s">
        <v>1</v>
      </c>
      <c r="S4" s="233"/>
      <c r="T4" s="82" t="s">
        <v>30</v>
      </c>
      <c r="U4" s="231" t="s">
        <v>2</v>
      </c>
      <c r="V4" s="232"/>
      <c r="W4" s="82" t="s">
        <v>30</v>
      </c>
      <c r="X4" s="233" t="s">
        <v>12</v>
      </c>
      <c r="Y4" s="233"/>
      <c r="Z4" s="82" t="s">
        <v>30</v>
      </c>
      <c r="AA4" s="231" t="s">
        <v>13</v>
      </c>
      <c r="AB4" s="234"/>
      <c r="AC4" s="82" t="s">
        <v>30</v>
      </c>
      <c r="AD4" s="231" t="s">
        <v>14</v>
      </c>
      <c r="AE4" s="232"/>
      <c r="AF4" s="84" t="s">
        <v>30</v>
      </c>
      <c r="AG4" s="231" t="s">
        <v>15</v>
      </c>
      <c r="AH4" s="234"/>
      <c r="AI4" s="82" t="s">
        <v>30</v>
      </c>
      <c r="AJ4" s="231" t="s">
        <v>16</v>
      </c>
      <c r="AK4" s="234"/>
      <c r="AL4" s="84" t="s">
        <v>30</v>
      </c>
      <c r="AM4" s="231" t="s">
        <v>29</v>
      </c>
      <c r="AN4" s="232"/>
      <c r="AO4" s="237" t="s">
        <v>28</v>
      </c>
    </row>
    <row r="5" spans="2:44" ht="15" customHeight="1">
      <c r="B5" s="65"/>
      <c r="C5" s="71">
        <v>2019</v>
      </c>
      <c r="D5" s="71">
        <v>2020</v>
      </c>
      <c r="E5" s="74" t="s">
        <v>34</v>
      </c>
      <c r="F5" s="71">
        <v>2019</v>
      </c>
      <c r="G5" s="71">
        <v>2020</v>
      </c>
      <c r="H5" s="82" t="s">
        <v>34</v>
      </c>
      <c r="I5" s="71">
        <v>2019</v>
      </c>
      <c r="J5" s="71">
        <v>2020</v>
      </c>
      <c r="K5" s="82" t="s">
        <v>34</v>
      </c>
      <c r="L5" s="71">
        <v>2019</v>
      </c>
      <c r="M5" s="71">
        <v>2020</v>
      </c>
      <c r="N5" s="82" t="s">
        <v>34</v>
      </c>
      <c r="O5" s="71">
        <v>2019</v>
      </c>
      <c r="P5" s="71">
        <v>2020</v>
      </c>
      <c r="Q5" s="82" t="s">
        <v>34</v>
      </c>
      <c r="R5" s="71">
        <v>2019</v>
      </c>
      <c r="S5" s="71">
        <v>2020</v>
      </c>
      <c r="T5" s="82" t="s">
        <v>34</v>
      </c>
      <c r="U5" s="71">
        <v>2019</v>
      </c>
      <c r="V5" s="71">
        <v>2020</v>
      </c>
      <c r="W5" s="82" t="s">
        <v>34</v>
      </c>
      <c r="X5" s="71">
        <v>2019</v>
      </c>
      <c r="Y5" s="71">
        <v>2020</v>
      </c>
      <c r="Z5" s="82" t="s">
        <v>34</v>
      </c>
      <c r="AA5" s="71">
        <v>2019</v>
      </c>
      <c r="AB5" s="71">
        <v>2020</v>
      </c>
      <c r="AC5" s="82" t="s">
        <v>34</v>
      </c>
      <c r="AD5" s="71">
        <v>2019</v>
      </c>
      <c r="AE5" s="71">
        <v>2020</v>
      </c>
      <c r="AF5" s="84" t="s">
        <v>34</v>
      </c>
      <c r="AG5" s="71">
        <v>2019</v>
      </c>
      <c r="AH5" s="71">
        <v>2020</v>
      </c>
      <c r="AI5" s="82" t="s">
        <v>34</v>
      </c>
      <c r="AJ5" s="71">
        <v>2019</v>
      </c>
      <c r="AK5" s="71">
        <v>2020</v>
      </c>
      <c r="AL5" s="82" t="s">
        <v>34</v>
      </c>
      <c r="AM5" s="71">
        <v>2019</v>
      </c>
      <c r="AN5" s="71">
        <v>2020</v>
      </c>
      <c r="AO5" s="238"/>
    </row>
    <row r="6" spans="2:44">
      <c r="B6" s="75" t="s">
        <v>6</v>
      </c>
      <c r="C6" s="66">
        <v>20478</v>
      </c>
      <c r="D6" s="66">
        <v>16798</v>
      </c>
      <c r="E6" s="62">
        <f>(D6-C6)/C6</f>
        <v>-0.17970504932122278</v>
      </c>
      <c r="F6" s="66">
        <v>23146</v>
      </c>
      <c r="G6" s="66">
        <v>21694</v>
      </c>
      <c r="H6" s="62">
        <f>(G6-F6)/F6</f>
        <v>-6.2732221550159853E-2</v>
      </c>
      <c r="I6" s="66">
        <v>30256</v>
      </c>
      <c r="J6" s="66">
        <v>27649</v>
      </c>
      <c r="K6" s="62">
        <f>(J6-I6)/I6</f>
        <v>-8.6164727657324164E-2</v>
      </c>
      <c r="L6" s="66">
        <v>30253</v>
      </c>
      <c r="M6" s="66">
        <v>18916</v>
      </c>
      <c r="N6" s="62">
        <f>(M6-L6)/L6</f>
        <v>-0.37473969523683603</v>
      </c>
      <c r="O6" s="66">
        <v>31919</v>
      </c>
      <c r="P6" s="88">
        <v>15881</v>
      </c>
      <c r="Q6" s="95">
        <f>(P6-O6)/O6</f>
        <v>-0.50245935023027033</v>
      </c>
      <c r="R6" s="88">
        <v>31830</v>
      </c>
      <c r="S6" s="88">
        <v>24747</v>
      </c>
      <c r="T6" s="95">
        <f>(S6-R6)/R6</f>
        <v>-0.22252591894439208</v>
      </c>
      <c r="U6" s="88">
        <v>23657</v>
      </c>
      <c r="V6" s="94">
        <v>22718</v>
      </c>
      <c r="W6" s="95">
        <f>(V6-U6)/U6</f>
        <v>-3.9692268673120007E-2</v>
      </c>
      <c r="X6" s="88">
        <v>29477</v>
      </c>
      <c r="Y6" s="94">
        <v>25522</v>
      </c>
      <c r="Z6" s="95">
        <f>(Y6-X6)/X6</f>
        <v>-0.13417240560436952</v>
      </c>
      <c r="AA6" s="66">
        <v>26758</v>
      </c>
      <c r="AB6" s="66">
        <v>28719</v>
      </c>
      <c r="AC6" s="95">
        <f>(AB6-AA6)/AA6</f>
        <v>7.3286493758875845E-2</v>
      </c>
      <c r="AD6" s="1">
        <v>29631</v>
      </c>
      <c r="AE6" s="2">
        <v>28147</v>
      </c>
      <c r="AF6" s="95">
        <f>(AE6-AD6)/AD6</f>
        <v>-5.0082683675879994E-2</v>
      </c>
      <c r="AG6" s="184">
        <v>30502</v>
      </c>
      <c r="AH6" s="185">
        <v>26571</v>
      </c>
      <c r="AI6" s="95">
        <f>(AH6-AG6)/AG6</f>
        <v>-0.12887679496426463</v>
      </c>
      <c r="AJ6" s="4">
        <v>48129</v>
      </c>
      <c r="AK6" s="185">
        <v>34662</v>
      </c>
      <c r="AL6" s="95">
        <f>(AK6-AJ6)/AJ6</f>
        <v>-0.27981050925637352</v>
      </c>
      <c r="AM6" s="67">
        <f>C6+F6+I6+L6+O6+R6+U6+X6+AA6+AD6+AG6+AJ6</f>
        <v>356036</v>
      </c>
      <c r="AN6" s="67">
        <f>D6+G6+J6+M6+P6+S6+V6+Y6+AB6+AE6+AH6+AK6</f>
        <v>292024</v>
      </c>
      <c r="AO6" s="72">
        <f>(AN6-AM6)/AM6</f>
        <v>-0.17979080767113437</v>
      </c>
    </row>
    <row r="7" spans="2:44">
      <c r="B7" s="75" t="s">
        <v>3</v>
      </c>
      <c r="C7" s="66">
        <v>2762</v>
      </c>
      <c r="D7" s="66">
        <v>1173</v>
      </c>
      <c r="E7" s="62">
        <f>(D7-C7)/C7</f>
        <v>-0.57530774800868933</v>
      </c>
      <c r="F7" s="66">
        <v>3101</v>
      </c>
      <c r="G7" s="66">
        <v>1923</v>
      </c>
      <c r="H7" s="62">
        <f>(G7-F7)/F7</f>
        <v>-0.37987745888423091</v>
      </c>
      <c r="I7" s="66">
        <v>4191</v>
      </c>
      <c r="J7" s="66">
        <v>2555</v>
      </c>
      <c r="K7" s="62">
        <f>(J7-I7)/I7</f>
        <v>-0.39036029587210691</v>
      </c>
      <c r="L7" s="66">
        <v>4061</v>
      </c>
      <c r="M7" s="81">
        <v>2485</v>
      </c>
      <c r="N7" s="62">
        <f>(M7-L7)/L7</f>
        <v>-0.38808175326274319</v>
      </c>
      <c r="O7" s="66">
        <v>4315</v>
      </c>
      <c r="P7" s="88">
        <v>2103</v>
      </c>
      <c r="Q7" s="95">
        <f>(P7-O7)/O7</f>
        <v>-0.51263035921205102</v>
      </c>
      <c r="R7" s="88">
        <v>4530</v>
      </c>
      <c r="S7" s="88">
        <v>2240</v>
      </c>
      <c r="T7" s="95">
        <f>(S7-R7)/R7</f>
        <v>-0.50551876379690952</v>
      </c>
      <c r="U7" s="88">
        <v>2421</v>
      </c>
      <c r="V7" s="94">
        <v>1636</v>
      </c>
      <c r="W7" s="95">
        <f>(V7-U7)/U7</f>
        <v>-0.32424617926476662</v>
      </c>
      <c r="X7" s="88">
        <v>5917</v>
      </c>
      <c r="Y7" s="94">
        <v>2881</v>
      </c>
      <c r="Z7" s="95">
        <f>(Y7-X7)/X7</f>
        <v>-0.5130978536420483</v>
      </c>
      <c r="AA7" s="66">
        <v>3677</v>
      </c>
      <c r="AB7" s="66">
        <v>3596</v>
      </c>
      <c r="AC7" s="95">
        <f>(AB7-AA7)/AA7</f>
        <v>-2.2028827848789775E-2</v>
      </c>
      <c r="AD7" s="64">
        <v>3712</v>
      </c>
      <c r="AE7" s="1">
        <v>3300</v>
      </c>
      <c r="AF7" s="95">
        <f>(AE7-AD7)/AD7</f>
        <v>-0.11099137931034483</v>
      </c>
      <c r="AG7" s="182">
        <v>4066</v>
      </c>
      <c r="AH7" s="182">
        <v>3131</v>
      </c>
      <c r="AI7" s="95">
        <f>(AH7-AG7)/AG7</f>
        <v>-0.22995573044761436</v>
      </c>
      <c r="AJ7" s="4">
        <v>11063</v>
      </c>
      <c r="AK7" s="185">
        <v>3992</v>
      </c>
      <c r="AL7" s="95">
        <f>(AK7-AJ7)/AJ7</f>
        <v>-0.63915755220103043</v>
      </c>
      <c r="AM7" s="67">
        <f t="shared" ref="AM7:AN10" si="0">C7+F7+I7+L7+O7+R7+U7+X7+AA7+AD7+AG7+AJ7</f>
        <v>53816</v>
      </c>
      <c r="AN7" s="67">
        <f t="shared" si="0"/>
        <v>31015</v>
      </c>
      <c r="AO7" s="72">
        <f>(AN7-AM7)/AM7</f>
        <v>-0.42368440612457264</v>
      </c>
    </row>
    <row r="8" spans="2:44">
      <c r="B8" s="75" t="s">
        <v>4</v>
      </c>
      <c r="C8" s="66">
        <v>455</v>
      </c>
      <c r="D8" s="66">
        <v>457</v>
      </c>
      <c r="E8" s="62">
        <f>(D8-C8)/C8</f>
        <v>4.3956043956043956E-3</v>
      </c>
      <c r="F8" s="66">
        <v>505</v>
      </c>
      <c r="G8" s="66">
        <v>451</v>
      </c>
      <c r="H8" s="62">
        <f>(G8-F8)/F8</f>
        <v>-0.10693069306930693</v>
      </c>
      <c r="I8" s="66">
        <v>700</v>
      </c>
      <c r="J8" s="66">
        <v>557</v>
      </c>
      <c r="K8" s="62">
        <f>(J8-I8)/I8</f>
        <v>-0.20428571428571429</v>
      </c>
      <c r="L8" s="66">
        <v>696</v>
      </c>
      <c r="M8" s="66">
        <v>485</v>
      </c>
      <c r="N8" s="62">
        <f>(M8-L8)/L8</f>
        <v>-0.30316091954022989</v>
      </c>
      <c r="O8" s="66">
        <v>785</v>
      </c>
      <c r="P8" s="88">
        <v>416</v>
      </c>
      <c r="Q8" s="95">
        <f>(P8-O8)/O8</f>
        <v>-0.47006369426751593</v>
      </c>
      <c r="R8" s="88">
        <v>1301</v>
      </c>
      <c r="S8" s="94">
        <v>417</v>
      </c>
      <c r="T8" s="95">
        <f>(S8-R8)/R8</f>
        <v>-0.67947732513451187</v>
      </c>
      <c r="U8" s="88">
        <v>195</v>
      </c>
      <c r="V8" s="94">
        <v>272</v>
      </c>
      <c r="W8" s="95">
        <f>(V8-U8)/U8</f>
        <v>0.39487179487179486</v>
      </c>
      <c r="X8" s="88">
        <v>313</v>
      </c>
      <c r="Y8" s="94">
        <v>385</v>
      </c>
      <c r="Z8" s="95">
        <f>(Y8-X8)/X8</f>
        <v>0.23003194888178913</v>
      </c>
      <c r="AA8" s="66">
        <v>503</v>
      </c>
      <c r="AB8" s="66">
        <v>503</v>
      </c>
      <c r="AC8" s="95">
        <f>(AB8-AA8)/AA8</f>
        <v>0</v>
      </c>
      <c r="AD8" s="2">
        <v>612</v>
      </c>
      <c r="AE8" s="1">
        <v>522</v>
      </c>
      <c r="AF8" s="95">
        <f>(AE8-AD8)/AD8</f>
        <v>-0.14705882352941177</v>
      </c>
      <c r="AG8" s="185">
        <v>643</v>
      </c>
      <c r="AH8" s="185">
        <v>540</v>
      </c>
      <c r="AI8" s="95">
        <f>(AH8-AG8)/AG8</f>
        <v>-0.16018662519440124</v>
      </c>
      <c r="AJ8" s="4">
        <v>600</v>
      </c>
      <c r="AK8" s="185">
        <v>497</v>
      </c>
      <c r="AL8" s="95">
        <f>(AK8-AJ8)/AJ8</f>
        <v>-0.17166666666666666</v>
      </c>
      <c r="AM8" s="67">
        <f t="shared" si="0"/>
        <v>7308</v>
      </c>
      <c r="AN8" s="67">
        <f t="shared" si="0"/>
        <v>5502</v>
      </c>
      <c r="AO8" s="72">
        <f>(AN8-AM8)/AM8</f>
        <v>-0.2471264367816092</v>
      </c>
    </row>
    <row r="9" spans="2:44">
      <c r="B9" s="75" t="s">
        <v>5</v>
      </c>
      <c r="C9" s="66">
        <v>47</v>
      </c>
      <c r="D9" s="66">
        <v>38</v>
      </c>
      <c r="E9" s="62">
        <f>(D9-C9)/C9</f>
        <v>-0.19148936170212766</v>
      </c>
      <c r="F9" s="66">
        <v>57</v>
      </c>
      <c r="G9" s="66">
        <v>26</v>
      </c>
      <c r="H9" s="62">
        <f>(G9-F9)/F9</f>
        <v>-0.54385964912280704</v>
      </c>
      <c r="I9" s="66">
        <v>71</v>
      </c>
      <c r="J9" s="66">
        <v>44</v>
      </c>
      <c r="K9" s="62">
        <f>(J9-I9)/I9</f>
        <v>-0.38028169014084506</v>
      </c>
      <c r="L9" s="66">
        <v>69</v>
      </c>
      <c r="M9" s="66">
        <v>99</v>
      </c>
      <c r="N9" s="62">
        <f>(M9-L9)/L9</f>
        <v>0.43478260869565216</v>
      </c>
      <c r="O9" s="66">
        <v>143</v>
      </c>
      <c r="P9" s="88">
        <v>207</v>
      </c>
      <c r="Q9" s="95">
        <f>(P9-O9)/O9</f>
        <v>0.44755244755244755</v>
      </c>
      <c r="R9" s="94">
        <v>449</v>
      </c>
      <c r="S9" s="94">
        <v>236</v>
      </c>
      <c r="T9" s="95">
        <f>(S9-R9)/R9</f>
        <v>-0.47438752783964366</v>
      </c>
      <c r="U9" s="94">
        <v>73</v>
      </c>
      <c r="V9" s="94">
        <v>95</v>
      </c>
      <c r="W9" s="95">
        <f>(V9-U9)/U9</f>
        <v>0.30136986301369861</v>
      </c>
      <c r="X9" s="94">
        <v>101</v>
      </c>
      <c r="Y9" s="94">
        <v>214</v>
      </c>
      <c r="Z9" s="95">
        <f>(Y9-X9)/X9</f>
        <v>1.1188118811881189</v>
      </c>
      <c r="AA9" s="81">
        <v>49</v>
      </c>
      <c r="AB9" s="66">
        <v>41</v>
      </c>
      <c r="AC9" s="95">
        <f>(AB9-AA9)/AA9</f>
        <v>-0.16326530612244897</v>
      </c>
      <c r="AD9" s="81">
        <v>43</v>
      </c>
      <c r="AE9" s="1">
        <v>62</v>
      </c>
      <c r="AF9" s="95">
        <f>(AE9-AD9)/AD9</f>
        <v>0.44186046511627908</v>
      </c>
      <c r="AG9" s="184">
        <v>44</v>
      </c>
      <c r="AH9" s="185">
        <v>160</v>
      </c>
      <c r="AI9" s="95">
        <f>(AH9-AG9)/AG9</f>
        <v>2.6363636363636362</v>
      </c>
      <c r="AJ9" s="4">
        <v>172</v>
      </c>
      <c r="AK9" s="185">
        <v>452</v>
      </c>
      <c r="AL9" s="95">
        <f>(AK9-AJ9)/AJ9</f>
        <v>1.6279069767441861</v>
      </c>
      <c r="AM9" s="67">
        <f t="shared" si="0"/>
        <v>1318</v>
      </c>
      <c r="AN9" s="67">
        <f t="shared" si="0"/>
        <v>1674</v>
      </c>
      <c r="AO9" s="72">
        <f>(AN9-AM9)/AM9</f>
        <v>0.27010622154779967</v>
      </c>
    </row>
    <row r="10" spans="2:44" s="70" customFormat="1">
      <c r="B10" s="76" t="s">
        <v>7</v>
      </c>
      <c r="C10" s="67">
        <f>SUM(C6:C9)</f>
        <v>23742</v>
      </c>
      <c r="D10" s="67">
        <f>SUM(D6:D9)</f>
        <v>18466</v>
      </c>
      <c r="E10" s="63">
        <f>(D10-C10)/C10</f>
        <v>-0.22222222222222221</v>
      </c>
      <c r="F10" s="67">
        <f>SUM(F6:F9)</f>
        <v>26809</v>
      </c>
      <c r="G10" s="67">
        <f>SUM(G6:G9)</f>
        <v>24094</v>
      </c>
      <c r="H10" s="63">
        <f>(G10-F10)/F10</f>
        <v>-0.10127196090865008</v>
      </c>
      <c r="I10" s="67">
        <f>SUM(I6:I9)</f>
        <v>35218</v>
      </c>
      <c r="J10" s="67">
        <f>SUM(J6:J9)</f>
        <v>30805</v>
      </c>
      <c r="K10" s="63">
        <f>(J10-I10)/I10</f>
        <v>-0.12530524163779885</v>
      </c>
      <c r="L10" s="77">
        <f>SUM(L6:L9)</f>
        <v>35079</v>
      </c>
      <c r="M10" s="67">
        <f>SUM(M6:M9)</f>
        <v>21985</v>
      </c>
      <c r="N10" s="63">
        <f>(M10-L10)/L10</f>
        <v>-0.3732717580318709</v>
      </c>
      <c r="O10" s="67">
        <f>SUM(O6:O9)</f>
        <v>37162</v>
      </c>
      <c r="P10" s="93">
        <f>SUM(P6:P9)</f>
        <v>18607</v>
      </c>
      <c r="Q10" s="96">
        <f>(P10-O10)/O10</f>
        <v>-0.49930036058339161</v>
      </c>
      <c r="R10" s="93">
        <f>SUM(R6:R9)</f>
        <v>38110</v>
      </c>
      <c r="S10" s="93">
        <f>SUM(S6:S9)</f>
        <v>27640</v>
      </c>
      <c r="T10" s="95">
        <f>(S10-R10)/R10</f>
        <v>-0.274731041721333</v>
      </c>
      <c r="U10" s="93">
        <f t="shared" ref="U10:AK10" si="1">SUM(U6:U9)</f>
        <v>26346</v>
      </c>
      <c r="V10" s="93">
        <f t="shared" si="1"/>
        <v>24721</v>
      </c>
      <c r="W10" s="95">
        <f>(V10-U10)/U10</f>
        <v>-6.1679192287254235E-2</v>
      </c>
      <c r="X10" s="93">
        <f t="shared" si="1"/>
        <v>35808</v>
      </c>
      <c r="Y10" s="93">
        <f t="shared" si="1"/>
        <v>29002</v>
      </c>
      <c r="Z10" s="95">
        <f>(Y10-X10)/X10</f>
        <v>-0.19006925826630922</v>
      </c>
      <c r="AA10" s="93">
        <f t="shared" si="1"/>
        <v>30987</v>
      </c>
      <c r="AB10" s="93">
        <f t="shared" si="1"/>
        <v>32859</v>
      </c>
      <c r="AC10" s="95">
        <f>(AB10-AA10)/AA10</f>
        <v>6.0412431019459777E-2</v>
      </c>
      <c r="AD10" s="93">
        <f t="shared" si="1"/>
        <v>33998</v>
      </c>
      <c r="AE10" s="93">
        <f t="shared" si="1"/>
        <v>32031</v>
      </c>
      <c r="AF10" s="95">
        <f>(AE10-AD10)/AD10</f>
        <v>-5.7856344490852404E-2</v>
      </c>
      <c r="AG10" s="93">
        <f t="shared" si="1"/>
        <v>35255</v>
      </c>
      <c r="AH10" s="93">
        <f t="shared" si="1"/>
        <v>30402</v>
      </c>
      <c r="AI10" s="95">
        <f>(AH10-AG10)/AG10</f>
        <v>-0.13765423344206495</v>
      </c>
      <c r="AJ10" s="93">
        <f t="shared" si="1"/>
        <v>59964</v>
      </c>
      <c r="AK10" s="93">
        <f t="shared" si="1"/>
        <v>39603</v>
      </c>
      <c r="AL10" s="95">
        <f>(AK10-AJ10)/AJ10</f>
        <v>-0.3395537322393436</v>
      </c>
      <c r="AM10" s="67">
        <f>C10+F10+I10+L10+O10+R10+U10+X10+AA10+AD10+AG10+AJ10</f>
        <v>418478</v>
      </c>
      <c r="AN10" s="67">
        <f t="shared" si="0"/>
        <v>330215</v>
      </c>
      <c r="AO10" s="73">
        <f>(AN10-AM10)/AM10</f>
        <v>-0.21091431329723426</v>
      </c>
      <c r="AQ10" s="64"/>
      <c r="AR10" s="79"/>
    </row>
    <row r="12" spans="2:44">
      <c r="B12" s="64" t="s">
        <v>76</v>
      </c>
      <c r="C12" s="86" t="s">
        <v>133</v>
      </c>
      <c r="AA12" s="81"/>
      <c r="AM12" s="81"/>
    </row>
    <row r="13" spans="2:44">
      <c r="C13" s="86" t="s">
        <v>141</v>
      </c>
      <c r="W13" s="80"/>
      <c r="X13" s="80"/>
      <c r="Y13" s="80"/>
      <c r="AD13" s="80"/>
      <c r="AE13" s="80"/>
      <c r="AF13" s="80"/>
      <c r="AG13" s="80"/>
      <c r="AH13" s="80"/>
      <c r="AI13" s="80"/>
      <c r="AM13" s="184"/>
    </row>
    <row r="14" spans="2:44">
      <c r="C14" s="80"/>
      <c r="D14" s="80"/>
      <c r="E14" s="80"/>
      <c r="F14" s="80"/>
      <c r="G14" s="80"/>
    </row>
    <row r="15" spans="2:44">
      <c r="W15" s="81"/>
      <c r="X15" s="81"/>
      <c r="Y15" s="81"/>
      <c r="AD15" s="81"/>
      <c r="AE15" s="81"/>
      <c r="AF15" s="81"/>
      <c r="AG15" s="81"/>
      <c r="AH15" s="81"/>
      <c r="AI15" s="81"/>
    </row>
    <row r="16" spans="2:44">
      <c r="C16" s="81"/>
      <c r="D16" s="81"/>
      <c r="E16" s="81"/>
      <c r="F16" s="81"/>
      <c r="G16" s="81"/>
      <c r="W16" s="81"/>
      <c r="X16" s="81"/>
      <c r="Y16" s="81"/>
      <c r="AD16" s="81"/>
      <c r="AE16" s="81"/>
      <c r="AF16" s="81"/>
      <c r="AG16" s="81"/>
      <c r="AH16" s="81"/>
      <c r="AI16" s="81"/>
    </row>
    <row r="17" spans="3:35">
      <c r="C17" s="81"/>
      <c r="D17" s="81"/>
      <c r="E17" s="81"/>
      <c r="F17" s="81"/>
      <c r="G17" s="81"/>
      <c r="W17" s="81"/>
      <c r="X17" s="81"/>
      <c r="Y17" s="81"/>
      <c r="AD17" s="81"/>
      <c r="AE17" s="81"/>
      <c r="AF17" s="81"/>
      <c r="AG17" s="81"/>
      <c r="AH17" s="81"/>
      <c r="AI17" s="81"/>
    </row>
    <row r="18" spans="3:35">
      <c r="C18" s="81"/>
      <c r="D18" s="81"/>
      <c r="E18" s="81"/>
      <c r="F18" s="81"/>
      <c r="G18" s="81"/>
      <c r="W18" s="81"/>
      <c r="X18" s="81"/>
      <c r="Y18" s="81"/>
      <c r="AD18" s="81"/>
      <c r="AE18" s="81"/>
      <c r="AF18" s="81"/>
      <c r="AG18" s="81"/>
      <c r="AH18" s="81"/>
      <c r="AI18" s="81"/>
    </row>
    <row r="19" spans="3:35">
      <c r="C19" s="81"/>
      <c r="D19" s="81"/>
      <c r="E19" s="81"/>
      <c r="F19" s="81"/>
      <c r="G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</row>
    <row r="20" spans="3:35">
      <c r="C20" s="81"/>
      <c r="D20" s="81"/>
      <c r="E20" s="81"/>
      <c r="F20" s="81"/>
      <c r="G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</row>
    <row r="21" spans="3:35">
      <c r="C21" s="81"/>
      <c r="D21" s="81"/>
      <c r="E21" s="81"/>
      <c r="F21" s="81"/>
      <c r="G21" s="81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C12" r:id="rId1" xr:uid="{ADD008BC-9380-4FCF-AC43-C04AEF226B5E}"/>
    <hyperlink ref="C13" r:id="rId2" xr:uid="{7B1D6E53-B208-4E5D-AB9E-10FD3A0F252A}"/>
  </hyperlinks>
  <pageMargins left="0.7" right="0.7" top="0.78740157499999996" bottom="0.78740157499999996" header="0.3" footer="0.3"/>
  <pageSetup paperSize="9" orientation="portrait" verticalDpi="0" r:id="rId3"/>
  <ignoredErrors>
    <ignoredError sqref="C10:D10 F10:G10 I10:J10 L10:M10 O10:P10 R10:S10 U10:V10 X10:Y10 AA10:AB10 AD10:AE10 AG10:AH10 AJ10:AK10" formulaRange="1"/>
    <ignoredError sqref="E10 H10 K10 N10 Q10 T10 W10 Z10 AC10 AI10" formula="1"/>
    <ignoredError sqref="AC6 AC8:AC9 AF6:AF9 AL10 AL6:AL9" evalError="1"/>
    <ignoredError sqref="AF10" evalError="1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69009-DE58-4075-8D17-F4F84B43F64B}">
  <dimension ref="A1:AR21"/>
  <sheetViews>
    <sheetView topLeftCell="B1" zoomScaleNormal="100" workbookViewId="0">
      <pane xSplit="1" topLeftCell="AE1" activePane="topRight" state="frozen"/>
      <selection activeCell="B1" sqref="B1"/>
      <selection pane="topRight" activeCell="AM13" sqref="AM13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3" width="7.5703125" style="25" bestFit="1" customWidth="1"/>
    <col min="4" max="4" width="10" style="25" customWidth="1"/>
    <col min="5" max="5" width="11.5703125" style="25" customWidth="1"/>
    <col min="6" max="6" width="7.5703125" style="25" bestFit="1" customWidth="1"/>
    <col min="7" max="7" width="11.7109375" style="25" customWidth="1"/>
    <col min="8" max="8" width="10.85546875" style="25" customWidth="1"/>
    <col min="9" max="9" width="9.7109375" style="25" customWidth="1"/>
    <col min="10" max="10" width="9.42578125" style="25" customWidth="1"/>
    <col min="11" max="12" width="10" style="25" customWidth="1"/>
    <col min="13" max="13" width="9.7109375" style="25" customWidth="1"/>
    <col min="14" max="14" width="11.140625" style="25" customWidth="1"/>
    <col min="15" max="15" width="8.85546875" style="25" customWidth="1"/>
    <col min="16" max="16" width="10.42578125" style="25" customWidth="1"/>
    <col min="17" max="17" width="9.85546875" style="25" bestFit="1" customWidth="1"/>
    <col min="18" max="18" width="10.28515625" style="25" customWidth="1"/>
    <col min="19" max="19" width="10.5703125" style="25" customWidth="1"/>
    <col min="20" max="21" width="11.42578125" style="25"/>
    <col min="22" max="22" width="10.5703125" style="25" customWidth="1"/>
    <col min="23" max="16384" width="11.42578125" style="25"/>
  </cols>
  <sheetData>
    <row r="1" spans="2:44">
      <c r="B1" s="10" t="s">
        <v>35</v>
      </c>
    </row>
    <row r="2" spans="2:44">
      <c r="S2" s="27"/>
    </row>
    <row r="4" spans="2:44" ht="45" customHeight="1">
      <c r="B4" s="18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5" t="s">
        <v>29</v>
      </c>
      <c r="AN4" s="236"/>
      <c r="AO4" s="237" t="s">
        <v>28</v>
      </c>
    </row>
    <row r="5" spans="2:44" ht="15" customHeight="1">
      <c r="B5" s="1"/>
      <c r="C5" s="13">
        <v>2019</v>
      </c>
      <c r="D5" s="13">
        <v>2020</v>
      </c>
      <c r="E5" s="17" t="s">
        <v>34</v>
      </c>
      <c r="F5" s="13">
        <v>2019</v>
      </c>
      <c r="G5" s="13">
        <v>2020</v>
      </c>
      <c r="H5" s="28" t="s">
        <v>34</v>
      </c>
      <c r="I5" s="13">
        <v>2019</v>
      </c>
      <c r="J5" s="13">
        <v>2020</v>
      </c>
      <c r="K5" s="28" t="s">
        <v>34</v>
      </c>
      <c r="L5" s="13">
        <v>2019</v>
      </c>
      <c r="M5" s="13">
        <v>2020</v>
      </c>
      <c r="N5" s="28" t="s">
        <v>34</v>
      </c>
      <c r="O5" s="13">
        <v>2019</v>
      </c>
      <c r="P5" s="13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3">
        <v>2019</v>
      </c>
      <c r="AN5" s="13">
        <v>2020</v>
      </c>
      <c r="AO5" s="238"/>
    </row>
    <row r="6" spans="2:44">
      <c r="B6" s="19" t="s">
        <v>6</v>
      </c>
      <c r="C6" s="1">
        <v>20931</v>
      </c>
      <c r="D6" s="2">
        <v>18788</v>
      </c>
      <c r="E6" s="62">
        <f>(D6-C6)/C6</f>
        <v>-0.1023840236969089</v>
      </c>
      <c r="F6" s="2">
        <v>22181</v>
      </c>
      <c r="G6" s="2">
        <v>19108</v>
      </c>
      <c r="H6" s="62">
        <f>(G6-F6)/F6</f>
        <v>-0.13854199540146972</v>
      </c>
      <c r="I6" s="2">
        <v>28953</v>
      </c>
      <c r="J6" s="2">
        <v>17556</v>
      </c>
      <c r="K6" s="62">
        <f>(J6-I6)/I6</f>
        <v>-0.39363796497772252</v>
      </c>
      <c r="L6" s="2">
        <v>28620</v>
      </c>
      <c r="M6" s="2">
        <v>9382</v>
      </c>
      <c r="N6" s="62">
        <f>(M6-L6)/L6</f>
        <v>-0.67218728162124386</v>
      </c>
      <c r="O6" s="2">
        <v>28060</v>
      </c>
      <c r="P6" s="2">
        <v>13890</v>
      </c>
      <c r="Q6" s="62">
        <f>(P6-O6)/O6</f>
        <v>-0.5049893086243763</v>
      </c>
      <c r="R6" s="2">
        <v>28391</v>
      </c>
      <c r="S6" s="40">
        <v>24477</v>
      </c>
      <c r="T6" s="62">
        <f>(S6-R6)/R6</f>
        <v>-0.13786058962347222</v>
      </c>
      <c r="U6" s="60">
        <v>24103</v>
      </c>
      <c r="V6" s="99">
        <v>21762</v>
      </c>
      <c r="W6" s="62">
        <f>(V6-U6)/U6</f>
        <v>-9.7124839231630913E-2</v>
      </c>
      <c r="X6" s="2">
        <v>19436</v>
      </c>
      <c r="Y6" s="66">
        <v>16260</v>
      </c>
      <c r="Z6" s="62">
        <f>(Y6-X6)/X6</f>
        <v>-0.16340810866433422</v>
      </c>
      <c r="AA6" s="2">
        <v>24219</v>
      </c>
      <c r="AB6" s="2">
        <v>21454</v>
      </c>
      <c r="AC6" s="62">
        <f>(AB6-AA6)/AA6</f>
        <v>-0.11416656344192576</v>
      </c>
      <c r="AD6" s="2">
        <v>26103</v>
      </c>
      <c r="AE6" s="66">
        <v>20975</v>
      </c>
      <c r="AF6" s="62">
        <f>(AE6-AD6)/AD6</f>
        <v>-0.19645251503658584</v>
      </c>
      <c r="AG6" s="2">
        <v>24228</v>
      </c>
      <c r="AH6" s="66">
        <v>22846</v>
      </c>
      <c r="AI6" s="62">
        <f>(AH6-AG6)/AG6</f>
        <v>-5.7041439656595673E-2</v>
      </c>
      <c r="AJ6" s="4">
        <v>34825</v>
      </c>
      <c r="AK6" s="66">
        <v>29451</v>
      </c>
      <c r="AL6" s="62">
        <f>(AK6-AJ6)/AJ6</f>
        <v>-0.15431442928930367</v>
      </c>
      <c r="AM6" s="100">
        <f t="shared" ref="AM6:AN10" si="0">C6+F6+I6+L6+O6+R6+U6+X6+AA6+AD6+AG6+AJ6</f>
        <v>310050</v>
      </c>
      <c r="AN6" s="100">
        <f t="shared" si="0"/>
        <v>235949</v>
      </c>
      <c r="AO6" s="14">
        <f>(AN6-AM6)/AM6</f>
        <v>-0.23899693597806806</v>
      </c>
    </row>
    <row r="7" spans="2:44">
      <c r="B7" s="19" t="s">
        <v>3</v>
      </c>
      <c r="C7" s="1">
        <v>2524</v>
      </c>
      <c r="D7" s="2">
        <v>2404</v>
      </c>
      <c r="E7" s="62">
        <f>(D7-C7)/C7</f>
        <v>-4.7543581616481777E-2</v>
      </c>
      <c r="F7" s="2">
        <v>2572</v>
      </c>
      <c r="G7" s="2">
        <v>2385</v>
      </c>
      <c r="H7" s="62">
        <f>(G7-F7)/F7</f>
        <v>-7.2706065318818042E-2</v>
      </c>
      <c r="I7" s="2">
        <v>3195</v>
      </c>
      <c r="J7" s="2">
        <v>2368</v>
      </c>
      <c r="K7" s="62">
        <f>(J7-I7)/I7</f>
        <v>-0.25884194053208137</v>
      </c>
      <c r="L7" s="2">
        <v>2963</v>
      </c>
      <c r="M7" s="27">
        <v>1811</v>
      </c>
      <c r="N7" s="62">
        <f>(M7-L7)/L7</f>
        <v>-0.38879514006074922</v>
      </c>
      <c r="O7" s="2">
        <v>3284</v>
      </c>
      <c r="P7" s="2">
        <v>1966</v>
      </c>
      <c r="Q7" s="62">
        <f>(P7-O7)/O7</f>
        <v>-0.40133982947624847</v>
      </c>
      <c r="R7" s="2">
        <v>2842</v>
      </c>
      <c r="S7" s="40">
        <v>2320</v>
      </c>
      <c r="T7" s="62">
        <f>(S7-R7)/R7</f>
        <v>-0.18367346938775511</v>
      </c>
      <c r="U7" s="2">
        <v>2915</v>
      </c>
      <c r="V7" s="11">
        <v>2509</v>
      </c>
      <c r="W7" s="62">
        <f>(V7-U7)/U7</f>
        <v>-0.13927958833619211</v>
      </c>
      <c r="X7" s="2">
        <v>2675</v>
      </c>
      <c r="Y7" s="66">
        <v>2260</v>
      </c>
      <c r="Z7" s="62">
        <f>(Y7-X7)/X7</f>
        <v>-0.15514018691588785</v>
      </c>
      <c r="AA7" s="2">
        <v>2566</v>
      </c>
      <c r="AB7" s="66">
        <v>2359</v>
      </c>
      <c r="AC7" s="62">
        <f>(AB7-AA7)/AA7</f>
        <v>-8.0670303975058463E-2</v>
      </c>
      <c r="AD7" s="2">
        <v>2583</v>
      </c>
      <c r="AE7" s="66">
        <v>2070</v>
      </c>
      <c r="AF7" s="62">
        <f>(AE7-AD7)/AD7</f>
        <v>-0.19860627177700349</v>
      </c>
      <c r="AG7" s="2">
        <v>2989</v>
      </c>
      <c r="AH7" s="66">
        <v>2692</v>
      </c>
      <c r="AI7" s="62">
        <f>(AH7-AG7)/AG7</f>
        <v>-9.9364335898293743E-2</v>
      </c>
      <c r="AJ7" s="4">
        <v>34555</v>
      </c>
      <c r="AK7" s="66">
        <v>28035</v>
      </c>
      <c r="AL7" s="62">
        <f>(AK7-AJ7)/AJ7</f>
        <v>-0.18868470554188974</v>
      </c>
      <c r="AM7" s="3">
        <f t="shared" si="0"/>
        <v>65663</v>
      </c>
      <c r="AN7" s="3">
        <f t="shared" si="0"/>
        <v>53179</v>
      </c>
      <c r="AO7" s="14">
        <f>(AN7-AM7)/AM7</f>
        <v>-0.19012229109239603</v>
      </c>
    </row>
    <row r="8" spans="2:44">
      <c r="B8" s="19" t="s">
        <v>4</v>
      </c>
      <c r="C8" s="2">
        <v>356</v>
      </c>
      <c r="D8" s="2">
        <v>372</v>
      </c>
      <c r="E8" s="62">
        <f>(D8-C8)/C8</f>
        <v>4.49438202247191E-2</v>
      </c>
      <c r="F8" s="2">
        <v>354</v>
      </c>
      <c r="G8" s="2">
        <v>314</v>
      </c>
      <c r="H8" s="62">
        <f>(G8-F8)/F8</f>
        <v>-0.11299435028248588</v>
      </c>
      <c r="I8" s="2">
        <v>425</v>
      </c>
      <c r="J8" s="2">
        <v>362</v>
      </c>
      <c r="K8" s="62">
        <f>(J8-I8)/I8</f>
        <v>-0.14823529411764705</v>
      </c>
      <c r="L8" s="2">
        <v>362</v>
      </c>
      <c r="M8" s="2">
        <v>289</v>
      </c>
      <c r="N8" s="62">
        <f>(M8-L8)/L8</f>
        <v>-0.20165745856353592</v>
      </c>
      <c r="O8" s="2">
        <v>502</v>
      </c>
      <c r="P8" s="2">
        <v>355</v>
      </c>
      <c r="Q8" s="62">
        <f>(P8-O8)/O8</f>
        <v>-0.29282868525896416</v>
      </c>
      <c r="R8" s="2">
        <v>718</v>
      </c>
      <c r="S8" s="11">
        <v>303</v>
      </c>
      <c r="T8" s="62">
        <f>(S8-R8)/R8</f>
        <v>-0.57799442896935938</v>
      </c>
      <c r="U8" s="2">
        <v>196</v>
      </c>
      <c r="V8" s="11">
        <v>319</v>
      </c>
      <c r="W8" s="62">
        <f>(V8-U8)/U8</f>
        <v>0.62755102040816324</v>
      </c>
      <c r="X8" s="2">
        <v>265</v>
      </c>
      <c r="Y8" s="11">
        <v>265</v>
      </c>
      <c r="Z8" s="62">
        <f>(Y8-X8)/X8</f>
        <v>0</v>
      </c>
      <c r="AA8" s="2">
        <v>304</v>
      </c>
      <c r="AB8" s="66">
        <v>267</v>
      </c>
      <c r="AC8" s="62">
        <f>(AB8-AA8)/AA8</f>
        <v>-0.12171052631578948</v>
      </c>
      <c r="AD8" s="2">
        <v>252</v>
      </c>
      <c r="AE8" s="66">
        <v>176</v>
      </c>
      <c r="AF8" s="62">
        <f>(AE8-AD8)/AD8</f>
        <v>-0.30158730158730157</v>
      </c>
      <c r="AG8" s="2">
        <v>338</v>
      </c>
      <c r="AH8" s="66">
        <v>292</v>
      </c>
      <c r="AI8" s="62">
        <f>(AH8-AG8)/AG8</f>
        <v>-0.13609467455621302</v>
      </c>
      <c r="AJ8" s="4">
        <v>4291</v>
      </c>
      <c r="AK8" s="66">
        <v>3579</v>
      </c>
      <c r="AL8" s="62">
        <f>(AK8-AJ8)/AJ8</f>
        <v>-0.16592868795152646</v>
      </c>
      <c r="AM8" s="3">
        <f t="shared" si="0"/>
        <v>8363</v>
      </c>
      <c r="AN8" s="3">
        <f t="shared" si="0"/>
        <v>6893</v>
      </c>
      <c r="AO8" s="14">
        <f>(AN8-AM8)/AM8</f>
        <v>-0.17577424369245487</v>
      </c>
    </row>
    <row r="9" spans="2:44">
      <c r="B9" s="20" t="s">
        <v>5</v>
      </c>
      <c r="C9" s="27">
        <v>265</v>
      </c>
      <c r="D9" s="2">
        <v>402</v>
      </c>
      <c r="E9" s="62">
        <f>(D9-C9)/C9</f>
        <v>0.51698113207547169</v>
      </c>
      <c r="F9" s="2">
        <v>371</v>
      </c>
      <c r="G9" s="2">
        <v>492</v>
      </c>
      <c r="H9" s="62">
        <f>(G9-F9)/F9</f>
        <v>0.32614555256064692</v>
      </c>
      <c r="I9" s="2">
        <v>692</v>
      </c>
      <c r="J9" s="2">
        <v>692</v>
      </c>
      <c r="K9" s="62">
        <f>(J9-I9)/I9</f>
        <v>0</v>
      </c>
      <c r="L9" s="2">
        <v>888</v>
      </c>
      <c r="M9" s="2">
        <v>451</v>
      </c>
      <c r="N9" s="62">
        <f>(M9-L9)/L9</f>
        <v>-0.49211711711711714</v>
      </c>
      <c r="O9" s="2">
        <v>905</v>
      </c>
      <c r="P9" s="2">
        <v>706</v>
      </c>
      <c r="Q9" s="62">
        <f>(P9-O9)/O9</f>
        <v>-0.21988950276243094</v>
      </c>
      <c r="R9" s="1">
        <v>656</v>
      </c>
      <c r="S9" s="11">
        <v>867</v>
      </c>
      <c r="T9" s="62">
        <f>(S9-R9)/R9</f>
        <v>0.32164634146341464</v>
      </c>
      <c r="U9" s="1">
        <v>558</v>
      </c>
      <c r="V9" s="11">
        <v>813</v>
      </c>
      <c r="W9" s="62">
        <f>(V9-U9)/U9</f>
        <v>0.45698924731182794</v>
      </c>
      <c r="X9" s="2">
        <v>431</v>
      </c>
      <c r="Y9" s="11">
        <v>600</v>
      </c>
      <c r="Z9" s="62">
        <f>(Y9-X9)/X9</f>
        <v>0.39211136890951276</v>
      </c>
      <c r="AA9" s="27">
        <v>210</v>
      </c>
      <c r="AB9" s="66">
        <v>215</v>
      </c>
      <c r="AC9" s="62">
        <f>(AB9-AA9)/AA9</f>
        <v>2.3809523809523808E-2</v>
      </c>
      <c r="AD9" s="27">
        <v>257</v>
      </c>
      <c r="AE9" s="66">
        <v>677</v>
      </c>
      <c r="AF9" s="62">
        <f>(AE9-AD9)/AD9</f>
        <v>1.6342412451361867</v>
      </c>
      <c r="AG9" s="27">
        <v>219</v>
      </c>
      <c r="AH9" s="66">
        <v>492</v>
      </c>
      <c r="AI9" s="62">
        <f>(AH9-AG9)/AG9</f>
        <v>1.2465753424657535</v>
      </c>
      <c r="AJ9" s="4">
        <v>408</v>
      </c>
      <c r="AK9" s="66">
        <v>499</v>
      </c>
      <c r="AL9" s="62">
        <f>(AK9-AJ9)/AJ9</f>
        <v>0.22303921568627452</v>
      </c>
      <c r="AM9" s="3">
        <f t="shared" si="0"/>
        <v>5860</v>
      </c>
      <c r="AN9" s="3">
        <f t="shared" si="0"/>
        <v>6906</v>
      </c>
      <c r="AO9" s="14">
        <f>(AN9-AM9)/AM9</f>
        <v>0.17849829351535837</v>
      </c>
    </row>
    <row r="10" spans="2:44" s="10" customFormat="1">
      <c r="B10" s="22" t="s">
        <v>7</v>
      </c>
      <c r="C10" s="3">
        <f>SUM(C6:C9)</f>
        <v>24076</v>
      </c>
      <c r="D10" s="3">
        <f>SUM(D6:D9)</f>
        <v>21966</v>
      </c>
      <c r="E10" s="63">
        <f>(D10-C10)/C10</f>
        <v>-8.7639142714736662E-2</v>
      </c>
      <c r="F10" s="3">
        <f>SUM(F6:F9)</f>
        <v>25478</v>
      </c>
      <c r="G10" s="3">
        <f>SUM(G6:G9)</f>
        <v>22299</v>
      </c>
      <c r="H10" s="63">
        <f>(G10-F10)/F10</f>
        <v>-0.1247743150953764</v>
      </c>
      <c r="I10" s="3">
        <f>SUM(I6:I9)</f>
        <v>33265</v>
      </c>
      <c r="J10" s="3">
        <f>SUM(J6:J9)</f>
        <v>20978</v>
      </c>
      <c r="K10" s="63">
        <f>(J10-I10)/I10</f>
        <v>-0.36936720276566964</v>
      </c>
      <c r="L10" s="23">
        <f>SUM(L6:L9)</f>
        <v>32833</v>
      </c>
      <c r="M10" s="3">
        <f>SUM(M6:M9)</f>
        <v>11933</v>
      </c>
      <c r="N10" s="63">
        <f>(M10-L10)/L10</f>
        <v>-0.63655468583437391</v>
      </c>
      <c r="O10" s="23">
        <f>SUM(O6:O9)</f>
        <v>32751</v>
      </c>
      <c r="P10" s="3">
        <f>SUM(P6:P9)</f>
        <v>16917</v>
      </c>
      <c r="Q10" s="63">
        <f>(P10-O10)/O10</f>
        <v>-0.48346615370523038</v>
      </c>
      <c r="R10" s="3">
        <f>SUM(R6:R9)</f>
        <v>32607</v>
      </c>
      <c r="S10" s="3">
        <f>SUM(S6:S9)</f>
        <v>27967</v>
      </c>
      <c r="T10" s="63">
        <f>(S10-R10)/R10</f>
        <v>-0.14230073297144785</v>
      </c>
      <c r="U10" s="3">
        <f t="shared" ref="U10:AK10" si="1">SUM(U6:U9)</f>
        <v>27772</v>
      </c>
      <c r="V10" s="3">
        <f t="shared" si="1"/>
        <v>25403</v>
      </c>
      <c r="W10" s="63">
        <f>(V10-U10)/U10</f>
        <v>-8.5301742762494595E-2</v>
      </c>
      <c r="X10" s="3">
        <f t="shared" si="1"/>
        <v>22807</v>
      </c>
      <c r="Y10" s="3">
        <f t="shared" si="1"/>
        <v>19385</v>
      </c>
      <c r="Z10" s="63">
        <f>(Y10-X10)/X10</f>
        <v>-0.15004165387819529</v>
      </c>
      <c r="AA10" s="3">
        <f t="shared" si="1"/>
        <v>27299</v>
      </c>
      <c r="AB10" s="3">
        <f t="shared" si="1"/>
        <v>24295</v>
      </c>
      <c r="AC10" s="63">
        <f>(AB10-AA10)/AA10</f>
        <v>-0.11004066083006704</v>
      </c>
      <c r="AD10" s="3">
        <f t="shared" si="1"/>
        <v>29195</v>
      </c>
      <c r="AE10" s="3">
        <f t="shared" si="1"/>
        <v>23898</v>
      </c>
      <c r="AF10" s="63">
        <f>(AE10-AD10)/AD10</f>
        <v>-0.1814351772563795</v>
      </c>
      <c r="AG10" s="3">
        <f t="shared" si="1"/>
        <v>27774</v>
      </c>
      <c r="AH10" s="3">
        <f t="shared" si="1"/>
        <v>26322</v>
      </c>
      <c r="AI10" s="63">
        <f>(AH10-AG10)/AG10</f>
        <v>-5.227910995895442E-2</v>
      </c>
      <c r="AJ10" s="3">
        <f t="shared" si="1"/>
        <v>74079</v>
      </c>
      <c r="AK10" s="3">
        <f t="shared" si="1"/>
        <v>61564</v>
      </c>
      <c r="AL10" s="63">
        <f>(AK10-AJ10)/AJ10</f>
        <v>-0.1689412654058505</v>
      </c>
      <c r="AM10" s="3">
        <f t="shared" si="0"/>
        <v>389936</v>
      </c>
      <c r="AN10" s="3">
        <f t="shared" si="0"/>
        <v>302927</v>
      </c>
      <c r="AO10" s="15">
        <f>(AN10-AM10)/AM10</f>
        <v>-0.22313661729104264</v>
      </c>
      <c r="AQ10" s="25"/>
      <c r="AR10" s="24"/>
    </row>
    <row r="12" spans="2:44">
      <c r="B12" s="25" t="s">
        <v>130</v>
      </c>
      <c r="AL12" s="64"/>
      <c r="AM12" s="64"/>
      <c r="AN12" s="64"/>
      <c r="AO12" s="64"/>
    </row>
    <row r="13" spans="2:44">
      <c r="B13" s="86" t="s">
        <v>134</v>
      </c>
      <c r="W13" s="26"/>
      <c r="X13" s="26"/>
      <c r="Y13" s="26"/>
      <c r="Z13" s="26"/>
      <c r="AA13" s="80"/>
      <c r="AB13" s="26"/>
      <c r="AC13" s="26"/>
      <c r="AD13" s="26"/>
      <c r="AE13" s="26"/>
      <c r="AF13" s="184"/>
      <c r="AG13" s="184"/>
      <c r="AH13" s="184"/>
      <c r="AI13" s="184"/>
      <c r="AM13" s="184"/>
      <c r="AN13" s="64"/>
      <c r="AO13" s="64"/>
    </row>
    <row r="14" spans="2:44">
      <c r="C14" s="26"/>
      <c r="D14" s="26"/>
      <c r="E14" s="26"/>
      <c r="F14" s="26"/>
      <c r="G14" s="26"/>
      <c r="AA14" s="64"/>
      <c r="AF14" s="184"/>
      <c r="AG14" s="184"/>
      <c r="AH14" s="184"/>
      <c r="AI14" s="184"/>
      <c r="AM14" s="64"/>
      <c r="AN14" s="64"/>
      <c r="AO14" s="64"/>
    </row>
    <row r="15" spans="2:44">
      <c r="W15" s="27"/>
      <c r="X15" s="27"/>
      <c r="Y15" s="27"/>
      <c r="Z15" s="27"/>
      <c r="AA15" s="27"/>
      <c r="AB15" s="27"/>
      <c r="AC15" s="27"/>
      <c r="AD15" s="27"/>
      <c r="AE15" s="27"/>
      <c r="AF15" s="184"/>
      <c r="AG15" s="184"/>
      <c r="AH15" s="184"/>
      <c r="AI15" s="184"/>
      <c r="AM15" s="64"/>
      <c r="AN15" s="64"/>
    </row>
    <row r="16" spans="2:44">
      <c r="C16" s="27"/>
      <c r="D16" s="27"/>
      <c r="E16" s="27"/>
      <c r="F16" s="27"/>
      <c r="G16" s="27"/>
      <c r="W16" s="27"/>
      <c r="X16" s="27"/>
      <c r="Y16" s="27"/>
      <c r="Z16" s="27"/>
      <c r="AA16" s="27"/>
      <c r="AB16" s="27"/>
      <c r="AC16" s="27"/>
      <c r="AD16" s="27"/>
      <c r="AE16" s="27"/>
      <c r="AF16" s="184"/>
      <c r="AG16" s="184"/>
      <c r="AH16" s="184"/>
      <c r="AI16" s="184"/>
      <c r="AM16" s="64"/>
      <c r="AN16" s="64"/>
    </row>
    <row r="17" spans="3:35">
      <c r="C17" s="27"/>
      <c r="D17" s="27"/>
      <c r="E17" s="27"/>
      <c r="F17" s="27"/>
      <c r="G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3:35">
      <c r="C18" s="27"/>
      <c r="D18" s="27"/>
      <c r="E18" s="27"/>
      <c r="F18" s="27"/>
      <c r="G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3:35">
      <c r="C19" s="27"/>
      <c r="D19" s="27"/>
      <c r="E19" s="27"/>
      <c r="F19" s="27"/>
      <c r="G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3:35">
      <c r="C20" s="27"/>
      <c r="D20" s="27"/>
      <c r="E20" s="27"/>
      <c r="F20" s="27"/>
      <c r="G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3:35">
      <c r="C21" s="27"/>
      <c r="D21" s="27"/>
      <c r="E21" s="27"/>
      <c r="F21" s="27"/>
      <c r="G21" s="27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hyperlinks>
    <hyperlink ref="B13" r:id="rId1" location="statistics" xr:uid="{FD7C6D5E-21E3-4F68-895D-DDB8FAFEBFAE}"/>
  </hyperlinks>
  <pageMargins left="0.7" right="0.7" top="0.78740157499999996" bottom="0.78740157499999996" header="0.3" footer="0.3"/>
  <pageSetup paperSize="9" orientation="portrait" r:id="rId2"/>
  <ignoredErrors>
    <ignoredError sqref="C10:D10 F10:G10 L10 M10 O10:P10 R10:S10 AA10 U10:V10 AB10 X10:Y10 AD10:AE10 AG10:AH10 AJ10:AK10" formulaRange="1"/>
    <ignoredError sqref="E10 I10:J10 N10" formula="1" formulaRange="1"/>
    <ignoredError sqref="H10 K10 Q10 T10 Z10 W10 AC10 AF10" formula="1"/>
    <ignoredError sqref="AC7:AC9 AI7:AI9 AL6:AL10" evalError="1"/>
    <ignoredError sqref="AI10" evalError="1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FBFDE-D7FA-481D-AD45-38157631C665}">
  <dimension ref="A1:AR19"/>
  <sheetViews>
    <sheetView topLeftCell="B1" zoomScaleNormal="100" workbookViewId="0">
      <pane xSplit="1" topLeftCell="C1" activePane="topRight" state="frozen"/>
      <selection activeCell="B1" sqref="B1"/>
      <selection pane="topRight" activeCell="AL16" sqref="AL16"/>
    </sheetView>
  </sheetViews>
  <sheetFormatPr baseColWidth="10" defaultColWidth="11.42578125" defaultRowHeight="15"/>
  <cols>
    <col min="1" max="1" width="57" style="64" hidden="1" customWidth="1"/>
    <col min="2" max="2" width="20.28515625" style="64" bestFit="1" customWidth="1"/>
    <col min="3" max="3" width="8.7109375" style="64" customWidth="1"/>
    <col min="4" max="4" width="9" style="64" customWidth="1"/>
    <col min="5" max="5" width="11.5703125" style="64" customWidth="1"/>
    <col min="6" max="6" width="9.140625" style="64" customWidth="1"/>
    <col min="7" max="7" width="10.140625" style="64" customWidth="1"/>
    <col min="8" max="8" width="10.85546875" style="64" customWidth="1"/>
    <col min="9" max="9" width="9.7109375" style="64" customWidth="1"/>
    <col min="10" max="10" width="9.42578125" style="64" customWidth="1"/>
    <col min="11" max="12" width="10" style="64" customWidth="1"/>
    <col min="13" max="13" width="9.7109375" style="64" customWidth="1"/>
    <col min="14" max="14" width="11.140625" style="64" customWidth="1"/>
    <col min="15" max="15" width="8.85546875" style="64" customWidth="1"/>
    <col min="16" max="16" width="10.42578125" style="64" customWidth="1"/>
    <col min="17" max="17" width="10.140625" style="64" bestFit="1" customWidth="1"/>
    <col min="18" max="18" width="10.42578125" style="64" customWidth="1"/>
    <col min="19" max="19" width="11.42578125" style="64" customWidth="1"/>
    <col min="20" max="20" width="11.42578125" style="64"/>
    <col min="21" max="21" width="10.42578125" style="64" customWidth="1"/>
    <col min="22" max="22" width="10.5703125" style="64" customWidth="1"/>
    <col min="23" max="16384" width="11.42578125" style="64"/>
  </cols>
  <sheetData>
    <row r="1" spans="2:44">
      <c r="B1" s="70" t="s">
        <v>77</v>
      </c>
    </row>
    <row r="2" spans="2:44">
      <c r="B2" s="87"/>
      <c r="S2" s="184"/>
    </row>
    <row r="4" spans="2:44" ht="45" customHeight="1">
      <c r="B4" s="183"/>
      <c r="C4" s="242" t="s">
        <v>8</v>
      </c>
      <c r="D4" s="242"/>
      <c r="E4" s="85" t="s">
        <v>30</v>
      </c>
      <c r="F4" s="242" t="s">
        <v>9</v>
      </c>
      <c r="G4" s="242"/>
      <c r="H4" s="83" t="s">
        <v>30</v>
      </c>
      <c r="I4" s="242" t="s">
        <v>10</v>
      </c>
      <c r="J4" s="242"/>
      <c r="K4" s="83" t="s">
        <v>30</v>
      </c>
      <c r="L4" s="242" t="s">
        <v>11</v>
      </c>
      <c r="M4" s="242"/>
      <c r="N4" s="174" t="s">
        <v>30</v>
      </c>
      <c r="O4" s="242" t="s">
        <v>0</v>
      </c>
      <c r="P4" s="242"/>
      <c r="Q4" s="83" t="s">
        <v>30</v>
      </c>
      <c r="R4" s="242" t="s">
        <v>1</v>
      </c>
      <c r="S4" s="242"/>
      <c r="T4" s="174" t="s">
        <v>30</v>
      </c>
      <c r="U4" s="231" t="s">
        <v>2</v>
      </c>
      <c r="V4" s="232"/>
      <c r="W4" s="174" t="s">
        <v>30</v>
      </c>
      <c r="X4" s="242" t="s">
        <v>12</v>
      </c>
      <c r="Y4" s="242"/>
      <c r="Z4" s="174" t="s">
        <v>30</v>
      </c>
      <c r="AA4" s="231" t="s">
        <v>13</v>
      </c>
      <c r="AB4" s="234"/>
      <c r="AC4" s="174" t="s">
        <v>30</v>
      </c>
      <c r="AD4" s="231" t="s">
        <v>14</v>
      </c>
      <c r="AE4" s="232"/>
      <c r="AF4" s="175" t="s">
        <v>30</v>
      </c>
      <c r="AG4" s="231" t="s">
        <v>15</v>
      </c>
      <c r="AH4" s="234"/>
      <c r="AI4" s="174" t="s">
        <v>30</v>
      </c>
      <c r="AJ4" s="231" t="s">
        <v>16</v>
      </c>
      <c r="AK4" s="234"/>
      <c r="AL4" s="175" t="s">
        <v>30</v>
      </c>
      <c r="AM4" s="231" t="s">
        <v>29</v>
      </c>
      <c r="AN4" s="232"/>
      <c r="AO4" s="237" t="s">
        <v>28</v>
      </c>
    </row>
    <row r="5" spans="2:44" ht="15" customHeight="1">
      <c r="B5" s="183"/>
      <c r="C5" s="13">
        <v>2019</v>
      </c>
      <c r="D5" s="13">
        <v>2020</v>
      </c>
      <c r="E5" s="176" t="s">
        <v>34</v>
      </c>
      <c r="F5" s="13">
        <v>2019</v>
      </c>
      <c r="G5" s="13">
        <v>2020</v>
      </c>
      <c r="H5" s="174" t="s">
        <v>34</v>
      </c>
      <c r="I5" s="13">
        <v>2019</v>
      </c>
      <c r="J5" s="13">
        <v>2020</v>
      </c>
      <c r="K5" s="174" t="s">
        <v>34</v>
      </c>
      <c r="L5" s="13">
        <v>2019</v>
      </c>
      <c r="M5" s="13">
        <v>2020</v>
      </c>
      <c r="N5" s="174" t="s">
        <v>34</v>
      </c>
      <c r="O5" s="13">
        <v>2019</v>
      </c>
      <c r="P5" s="13">
        <v>2020</v>
      </c>
      <c r="Q5" s="174" t="s">
        <v>34</v>
      </c>
      <c r="R5" s="13">
        <v>2019</v>
      </c>
      <c r="S5" s="13">
        <v>2020</v>
      </c>
      <c r="T5" s="174" t="s">
        <v>34</v>
      </c>
      <c r="U5" s="13">
        <v>2019</v>
      </c>
      <c r="V5" s="13">
        <v>2020</v>
      </c>
      <c r="W5" s="174" t="s">
        <v>34</v>
      </c>
      <c r="X5" s="13">
        <v>2019</v>
      </c>
      <c r="Y5" s="13">
        <v>2020</v>
      </c>
      <c r="Z5" s="174" t="s">
        <v>34</v>
      </c>
      <c r="AA5" s="13">
        <v>2019</v>
      </c>
      <c r="AB5" s="13">
        <v>2020</v>
      </c>
      <c r="AC5" s="174" t="s">
        <v>34</v>
      </c>
      <c r="AD5" s="13">
        <v>2019</v>
      </c>
      <c r="AE5" s="13">
        <v>2020</v>
      </c>
      <c r="AF5" s="175" t="s">
        <v>34</v>
      </c>
      <c r="AG5" s="13">
        <v>2019</v>
      </c>
      <c r="AH5" s="13">
        <v>2020</v>
      </c>
      <c r="AI5" s="174" t="s">
        <v>34</v>
      </c>
      <c r="AJ5" s="13">
        <v>2019</v>
      </c>
      <c r="AK5" s="13">
        <v>2020</v>
      </c>
      <c r="AL5" s="174" t="s">
        <v>34</v>
      </c>
      <c r="AM5" s="13">
        <v>2019</v>
      </c>
      <c r="AN5" s="13">
        <v>2020</v>
      </c>
      <c r="AO5" s="238"/>
    </row>
    <row r="6" spans="2:44">
      <c r="B6" s="19" t="s">
        <v>6</v>
      </c>
      <c r="C6" s="185">
        <v>35062</v>
      </c>
      <c r="D6" s="185">
        <v>35143</v>
      </c>
      <c r="E6" s="188">
        <f>(D6-C6)/C6</f>
        <v>2.3101933717414864E-3</v>
      </c>
      <c r="F6" s="185">
        <v>37687</v>
      </c>
      <c r="G6" s="185">
        <v>31681</v>
      </c>
      <c r="H6" s="188">
        <f>(G6-F6)/F6</f>
        <v>-0.1593652983787513</v>
      </c>
      <c r="I6" s="185">
        <v>46998</v>
      </c>
      <c r="J6" s="185">
        <v>26454</v>
      </c>
      <c r="K6" s="188">
        <f>(J6-I6)/I6</f>
        <v>-0.43712498404187411</v>
      </c>
      <c r="L6" s="185">
        <v>41443</v>
      </c>
      <c r="M6" s="185">
        <v>11123</v>
      </c>
      <c r="N6" s="188">
        <f>(M6-L6)/L6</f>
        <v>-0.73160726781362351</v>
      </c>
      <c r="O6" s="185">
        <v>39705</v>
      </c>
      <c r="P6" s="185">
        <v>14815</v>
      </c>
      <c r="Q6" s="188">
        <f>(P6-O6)/O6</f>
        <v>-0.62687318977458761</v>
      </c>
      <c r="R6" s="185">
        <v>41805</v>
      </c>
      <c r="S6" s="185">
        <v>25017</v>
      </c>
      <c r="T6" s="188">
        <f>(S6-R6)/R6</f>
        <v>-0.40157875852170793</v>
      </c>
      <c r="U6" s="185">
        <v>38279</v>
      </c>
      <c r="V6" s="189">
        <v>23549</v>
      </c>
      <c r="W6" s="188">
        <f>(V6-U6)/U6</f>
        <v>-0.38480629065545074</v>
      </c>
      <c r="X6" s="185">
        <v>38707</v>
      </c>
      <c r="Y6" s="189">
        <v>28687</v>
      </c>
      <c r="Z6" s="188">
        <f>(Y6-X6)/X6</f>
        <v>-0.25886790503009793</v>
      </c>
      <c r="AA6" s="185">
        <v>38136</v>
      </c>
      <c r="AB6" s="189">
        <v>36160</v>
      </c>
      <c r="AC6" s="188">
        <f>(AB6-AA6)/AA6</f>
        <v>-5.1814558422487937E-2</v>
      </c>
      <c r="AD6" s="185">
        <v>35766</v>
      </c>
      <c r="AE6" s="189">
        <v>29796</v>
      </c>
      <c r="AF6" s="188">
        <f>(AE6-AD6)/AD6</f>
        <v>-0.16691830229827209</v>
      </c>
      <c r="AG6" s="185">
        <v>35086</v>
      </c>
      <c r="AH6" s="189">
        <v>33024</v>
      </c>
      <c r="AI6" s="188">
        <f>(AH6-AG6)/AG6</f>
        <v>-5.876987972410648E-2</v>
      </c>
      <c r="AJ6" s="4">
        <v>39964</v>
      </c>
      <c r="AK6" s="185">
        <v>48045</v>
      </c>
      <c r="AL6" s="188">
        <f>(AK6-AJ6)/AJ6</f>
        <v>0.2022069862876589</v>
      </c>
      <c r="AM6" s="185">
        <f t="shared" ref="AM6:AN8" si="0">C6+F6+I6+L6+O6+R6+U6+X6+AA6+AD6+AG6+AJ6</f>
        <v>468638</v>
      </c>
      <c r="AN6" s="185">
        <f t="shared" si="0"/>
        <v>343494</v>
      </c>
      <c r="AO6" s="14">
        <f>(AN6-AM6)/AM6</f>
        <v>-0.26703767086749258</v>
      </c>
    </row>
    <row r="7" spans="2:44" s="87" customFormat="1" ht="30">
      <c r="B7" s="190" t="s">
        <v>124</v>
      </c>
      <c r="C7" s="4">
        <v>42999</v>
      </c>
      <c r="D7" s="4">
        <v>36545</v>
      </c>
      <c r="E7" s="191">
        <f>(D7-C7)/C7</f>
        <v>-0.15009651387241563</v>
      </c>
      <c r="F7" s="4">
        <v>44637</v>
      </c>
      <c r="G7" s="4">
        <v>36590</v>
      </c>
      <c r="H7" s="191">
        <f>(G7-F7)/F7</f>
        <v>-0.1802764522705379</v>
      </c>
      <c r="I7" s="4">
        <v>56166</v>
      </c>
      <c r="J7" s="4">
        <v>33651</v>
      </c>
      <c r="K7" s="191">
        <f>(J7-I7)/I7</f>
        <v>-0.40086529216964001</v>
      </c>
      <c r="L7" s="4">
        <v>44633</v>
      </c>
      <c r="M7" s="152">
        <v>18986</v>
      </c>
      <c r="N7" s="191">
        <f>(M7-L7)/L7</f>
        <v>-0.57461967602446617</v>
      </c>
      <c r="O7" s="4">
        <v>48392</v>
      </c>
      <c r="P7" s="4">
        <v>25603</v>
      </c>
      <c r="Q7" s="191">
        <f>(P7-O7)/O7</f>
        <v>-0.47092494627211107</v>
      </c>
      <c r="R7" s="4">
        <v>44243</v>
      </c>
      <c r="S7" s="4">
        <v>33032</v>
      </c>
      <c r="T7" s="191">
        <f>(S7-R7)/R7</f>
        <v>-0.25339601744908802</v>
      </c>
      <c r="U7" s="4">
        <v>42765</v>
      </c>
      <c r="V7" s="192">
        <v>35786</v>
      </c>
      <c r="W7" s="191">
        <f>(V7-U7)/U7</f>
        <v>-0.16319420086519351</v>
      </c>
      <c r="X7" s="4">
        <v>42131</v>
      </c>
      <c r="Y7" s="192">
        <v>40196</v>
      </c>
      <c r="Z7" s="191">
        <f>(Y7-X7)/X7</f>
        <v>-4.592817640217417E-2</v>
      </c>
      <c r="AA7" s="4">
        <v>38059</v>
      </c>
      <c r="AB7" s="192">
        <v>41747</v>
      </c>
      <c r="AC7" s="191">
        <f>(AB7-AA7)/AA7</f>
        <v>9.69021781970099E-2</v>
      </c>
      <c r="AD7" s="4">
        <v>41355</v>
      </c>
      <c r="AE7" s="192">
        <v>44319</v>
      </c>
      <c r="AF7" s="191">
        <f>(AE7-AD7)/AD7</f>
        <v>7.1672107363075804E-2</v>
      </c>
      <c r="AG7" s="4">
        <v>44213</v>
      </c>
      <c r="AH7" s="192">
        <v>46153</v>
      </c>
      <c r="AI7" s="191">
        <f>(AH7-AG7)/AG7</f>
        <v>4.3878497274557254E-2</v>
      </c>
      <c r="AJ7" s="4">
        <v>49321</v>
      </c>
      <c r="AK7" s="4">
        <v>56044</v>
      </c>
      <c r="AL7" s="191">
        <f>(AK7-AJ7)/AJ7</f>
        <v>0.13631110480322783</v>
      </c>
      <c r="AM7" s="185">
        <f t="shared" si="0"/>
        <v>538914</v>
      </c>
      <c r="AN7" s="4">
        <f t="shared" si="0"/>
        <v>448652</v>
      </c>
      <c r="AO7" s="193">
        <f>(AN7-AM7)/AM7</f>
        <v>-0.16748869021773419</v>
      </c>
    </row>
    <row r="8" spans="2:44" s="70" customFormat="1">
      <c r="B8" s="22" t="s">
        <v>7</v>
      </c>
      <c r="C8" s="3">
        <f>SUM(C6:C7)</f>
        <v>78061</v>
      </c>
      <c r="D8" s="3">
        <f>SUM(D6:D7)</f>
        <v>71688</v>
      </c>
      <c r="E8" s="194">
        <f>(D8-C8)/C8</f>
        <v>-8.1641280537015928E-2</v>
      </c>
      <c r="F8" s="3">
        <f>SUM(F6:F7)</f>
        <v>82324</v>
      </c>
      <c r="G8" s="3">
        <f>SUM(G6:G7)</f>
        <v>68271</v>
      </c>
      <c r="H8" s="194">
        <f>(G8-F8)/F8</f>
        <v>-0.17070356153734026</v>
      </c>
      <c r="I8" s="3">
        <f>SUM(I6:I7)</f>
        <v>103164</v>
      </c>
      <c r="J8" s="3">
        <f>SUM(J6:J7)</f>
        <v>60105</v>
      </c>
      <c r="K8" s="194">
        <f>(J8-I8)/I8</f>
        <v>-0.41738397115272768</v>
      </c>
      <c r="L8" s="3">
        <f>SUM(L6:L7)</f>
        <v>86076</v>
      </c>
      <c r="M8" s="3">
        <f>SUM(M6:M7)</f>
        <v>30109</v>
      </c>
      <c r="N8" s="194">
        <f>(M8-L8)/L8</f>
        <v>-0.6502044704679586</v>
      </c>
      <c r="O8" s="3">
        <f>SUM(O6:O7)</f>
        <v>88097</v>
      </c>
      <c r="P8" s="3">
        <f>SUM(P6:P7)</f>
        <v>40418</v>
      </c>
      <c r="Q8" s="194">
        <f>(P8-O8)/O8</f>
        <v>-0.5412102568759436</v>
      </c>
      <c r="R8" s="3">
        <f>SUM(R6:R7)</f>
        <v>86048</v>
      </c>
      <c r="S8" s="3">
        <f>SUM(S6:S7)</f>
        <v>58049</v>
      </c>
      <c r="T8" s="194">
        <f>(S8-R8)/R8</f>
        <v>-0.325388155448122</v>
      </c>
      <c r="U8" s="3">
        <f>SUM(U6:U7)</f>
        <v>81044</v>
      </c>
      <c r="V8" s="3">
        <f>SUM(V6:V7)</f>
        <v>59335</v>
      </c>
      <c r="W8" s="194">
        <f>(V8-U8)/U8</f>
        <v>-0.26786683776713882</v>
      </c>
      <c r="X8" s="3">
        <f>SUM(X6:X7)</f>
        <v>80838</v>
      </c>
      <c r="Y8" s="3">
        <f>SUM(Y6:Y7)</f>
        <v>68883</v>
      </c>
      <c r="Z8" s="194">
        <f>(Y8-X8)/X8</f>
        <v>-0.1478883693312551</v>
      </c>
      <c r="AA8" s="3">
        <f>SUM(AA6:AA7)</f>
        <v>76195</v>
      </c>
      <c r="AB8" s="3">
        <f>SUM(AB6:AB7)</f>
        <v>77907</v>
      </c>
      <c r="AC8" s="194">
        <f>(AB8-AA8)/AA8</f>
        <v>2.2468665922960825E-2</v>
      </c>
      <c r="AD8" s="3">
        <f>SUM(AD6:AD7)</f>
        <v>77121</v>
      </c>
      <c r="AE8" s="3">
        <f>SUM(AE6:AE7)</f>
        <v>74115</v>
      </c>
      <c r="AF8" s="194">
        <f>(AE8-AD8)/AD8</f>
        <v>-3.8977710351266195E-2</v>
      </c>
      <c r="AG8" s="3">
        <f>SUM(AG6:AG7)</f>
        <v>79299</v>
      </c>
      <c r="AH8" s="3">
        <f>SUM(AH6:AH7)</f>
        <v>79177</v>
      </c>
      <c r="AI8" s="194">
        <f>(AH8-AG8)/AG8</f>
        <v>-1.5384809392300029E-3</v>
      </c>
      <c r="AJ8" s="3">
        <f>SUM(AJ6:AJ7)</f>
        <v>89285</v>
      </c>
      <c r="AK8" s="3">
        <f>SUM(AK6:AK7)</f>
        <v>104089</v>
      </c>
      <c r="AL8" s="194">
        <f>(AK8-AJ8)/AJ8</f>
        <v>0.1658061264490116</v>
      </c>
      <c r="AM8" s="3">
        <f t="shared" si="0"/>
        <v>1007552</v>
      </c>
      <c r="AN8" s="3">
        <f t="shared" si="0"/>
        <v>792146</v>
      </c>
      <c r="AO8" s="15">
        <f>(AN8-AM8)/AM8</f>
        <v>-0.21379144699231403</v>
      </c>
      <c r="AQ8" s="64"/>
      <c r="AR8" s="79"/>
    </row>
    <row r="10" spans="2:44">
      <c r="B10" s="64" t="s">
        <v>78</v>
      </c>
      <c r="C10" s="64" t="s">
        <v>118</v>
      </c>
      <c r="X10" s="184"/>
      <c r="Y10" s="229"/>
      <c r="AA10" s="184"/>
      <c r="AB10" s="229"/>
      <c r="AD10" s="184"/>
      <c r="AE10" s="229"/>
      <c r="AG10" s="184"/>
      <c r="AH10" s="229"/>
      <c r="AJ10" s="184"/>
      <c r="AK10" s="184"/>
      <c r="AM10" s="184"/>
    </row>
    <row r="11" spans="2:44">
      <c r="C11" s="184"/>
      <c r="D11" s="184"/>
      <c r="F11" s="184"/>
      <c r="G11" s="184"/>
      <c r="I11" s="184"/>
      <c r="J11" s="184"/>
      <c r="L11" s="184"/>
      <c r="M11" s="184"/>
      <c r="O11" s="184"/>
      <c r="P11" s="184"/>
      <c r="R11" s="184"/>
      <c r="S11" s="184"/>
      <c r="U11" s="184"/>
      <c r="V11" s="229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</row>
    <row r="12" spans="2:44">
      <c r="C12" s="80"/>
      <c r="D12" s="80"/>
      <c r="E12" s="80"/>
      <c r="F12" s="80"/>
      <c r="G12" s="80"/>
    </row>
    <row r="13" spans="2:44">
      <c r="C13" s="184"/>
      <c r="D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</row>
    <row r="14" spans="2:44">
      <c r="C14" s="184"/>
      <c r="D14" s="184"/>
      <c r="E14" s="184"/>
      <c r="F14" s="184"/>
      <c r="G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</row>
    <row r="15" spans="2:44">
      <c r="C15" s="184"/>
      <c r="D15" s="184"/>
      <c r="E15" s="184"/>
      <c r="F15" s="184"/>
      <c r="G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</row>
    <row r="16" spans="2:44">
      <c r="C16" s="184"/>
      <c r="D16" s="184"/>
      <c r="E16" s="184"/>
      <c r="F16" s="184"/>
      <c r="G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</row>
    <row r="17" spans="3:35">
      <c r="C17" s="184"/>
      <c r="D17" s="184"/>
      <c r="E17" s="184"/>
      <c r="F17" s="184"/>
      <c r="G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</row>
    <row r="18" spans="3:35">
      <c r="C18" s="184"/>
      <c r="D18" s="184"/>
      <c r="E18" s="184"/>
      <c r="F18" s="184"/>
      <c r="G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</row>
    <row r="19" spans="3:35">
      <c r="C19" s="184"/>
      <c r="D19" s="184"/>
      <c r="E19" s="184"/>
      <c r="F19" s="184"/>
      <c r="G19" s="184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pageMargins left="0.7" right="0.7" top="0.78740157499999996" bottom="0.78740157499999996" header="0.3" footer="0.3"/>
  <pageSetup paperSize="9" orientation="portrait" r:id="rId1"/>
  <ignoredErrors>
    <ignoredError sqref="C8:D8 F8:G8 I8:J8 L8:M8 O8:P8 R8:S8 AB8 AJ8:AK8" formulaRange="1"/>
    <ignoredError sqref="E8 H8 K8 N8 Q8 T8:V8 X8:Y8 AA8 AD8:AE8 AG8:AH8" formula="1" formulaRange="1"/>
    <ignoredError sqref="W8 Z8 AC8 AF8 AI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68EE9-9A65-47EE-8341-5932CEB97216}">
  <dimension ref="A1:AR22"/>
  <sheetViews>
    <sheetView topLeftCell="B1" zoomScaleNormal="100" workbookViewId="0">
      <pane xSplit="1" topLeftCell="AE1" activePane="topRight" state="frozen"/>
      <selection activeCell="K29" sqref="K29"/>
      <selection pane="topRight" activeCell="AM12" sqref="AM12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3" width="8.42578125" style="25" customWidth="1"/>
    <col min="4" max="4" width="10.85546875" style="25" customWidth="1"/>
    <col min="5" max="5" width="11.5703125" style="25" customWidth="1"/>
    <col min="6" max="7" width="7.5703125" style="25" bestFit="1" customWidth="1"/>
    <col min="8" max="8" width="10.85546875" style="25" customWidth="1"/>
    <col min="9" max="10" width="7.5703125" style="25" bestFit="1" customWidth="1"/>
    <col min="11" max="11" width="11.28515625" style="25" customWidth="1"/>
    <col min="12" max="13" width="7.5703125" style="25" bestFit="1" customWidth="1"/>
    <col min="14" max="14" width="11.140625" style="25" customWidth="1"/>
    <col min="15" max="15" width="7.5703125" style="25" bestFit="1" customWidth="1"/>
    <col min="16" max="16" width="8.5703125" style="25" bestFit="1" customWidth="1"/>
    <col min="17" max="17" width="9.85546875" style="25" bestFit="1" customWidth="1"/>
    <col min="18" max="18" width="9.28515625" style="25" customWidth="1"/>
    <col min="19" max="19" width="9.5703125" style="25" bestFit="1" customWidth="1"/>
    <col min="20" max="21" width="11.42578125" style="25"/>
    <col min="22" max="22" width="10.5703125" style="25" customWidth="1"/>
    <col min="23" max="16384" width="11.42578125" style="25"/>
  </cols>
  <sheetData>
    <row r="1" spans="2:44">
      <c r="B1" s="10" t="s">
        <v>18</v>
      </c>
    </row>
    <row r="2" spans="2:44">
      <c r="S2" s="27"/>
    </row>
    <row r="4" spans="2:44" ht="45" customHeight="1">
      <c r="B4" s="18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1" t="s">
        <v>0</v>
      </c>
      <c r="P4" s="234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5" t="s">
        <v>29</v>
      </c>
      <c r="AN4" s="236"/>
      <c r="AO4" s="237" t="s">
        <v>28</v>
      </c>
    </row>
    <row r="5" spans="2:44" ht="15" customHeight="1">
      <c r="B5" s="1"/>
      <c r="C5" s="13">
        <v>2019</v>
      </c>
      <c r="D5" s="13">
        <v>2020</v>
      </c>
      <c r="E5" s="17" t="s">
        <v>34</v>
      </c>
      <c r="F5" s="13">
        <v>2019</v>
      </c>
      <c r="G5" s="13">
        <v>2020</v>
      </c>
      <c r="H5" s="28" t="s">
        <v>34</v>
      </c>
      <c r="I5" s="13">
        <v>2019</v>
      </c>
      <c r="J5" s="13">
        <v>2020</v>
      </c>
      <c r="K5" s="28" t="s">
        <v>34</v>
      </c>
      <c r="L5" s="13">
        <v>2019</v>
      </c>
      <c r="M5" s="13">
        <v>2020</v>
      </c>
      <c r="N5" s="28" t="s">
        <v>34</v>
      </c>
      <c r="O5" s="13">
        <v>2019</v>
      </c>
      <c r="P5" s="13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3">
        <v>2019</v>
      </c>
      <c r="AN5" s="13">
        <v>2020</v>
      </c>
      <c r="AO5" s="238"/>
    </row>
    <row r="6" spans="2:44">
      <c r="B6" s="19" t="s">
        <v>6</v>
      </c>
      <c r="C6" s="6">
        <v>28050</v>
      </c>
      <c r="D6" s="5">
        <v>20494</v>
      </c>
      <c r="E6" s="62">
        <f>(D6-C6)/C6</f>
        <v>-0.26937611408199641</v>
      </c>
      <c r="F6" s="9">
        <v>27151</v>
      </c>
      <c r="G6" s="8">
        <v>22648</v>
      </c>
      <c r="H6" s="62">
        <f>(G6-F6)/F6</f>
        <v>-0.16585024492652203</v>
      </c>
      <c r="I6" s="9">
        <v>28999</v>
      </c>
      <c r="J6" s="8">
        <v>21777</v>
      </c>
      <c r="K6" s="62">
        <f>(J6-I6)/I6</f>
        <v>-0.2490430704507052</v>
      </c>
      <c r="L6" s="2">
        <v>23816</v>
      </c>
      <c r="M6" s="2">
        <v>9157</v>
      </c>
      <c r="N6" s="62">
        <f>(M6-L6)/L6</f>
        <v>-0.6155105811219348</v>
      </c>
      <c r="O6" s="2">
        <v>28890</v>
      </c>
      <c r="P6" s="2">
        <v>13836</v>
      </c>
      <c r="Q6" s="62">
        <f>(P6-O6)/O6</f>
        <v>-0.52107995846313604</v>
      </c>
      <c r="R6" s="2">
        <v>33864</v>
      </c>
      <c r="S6" s="40">
        <v>25036</v>
      </c>
      <c r="T6" s="62">
        <f>(S6-R6)/R6</f>
        <v>-0.26068981809591307</v>
      </c>
      <c r="U6" s="2">
        <f>V6+7237</f>
        <v>25386</v>
      </c>
      <c r="V6" s="2">
        <v>18149</v>
      </c>
      <c r="W6" s="62">
        <f>(V6-U6)/U6</f>
        <v>-0.28507838966359411</v>
      </c>
      <c r="X6" s="2">
        <v>25793</v>
      </c>
      <c r="Y6" s="2">
        <v>14758</v>
      </c>
      <c r="Z6" s="62">
        <f>(Y6-X6)/X6</f>
        <v>-0.42782925599968985</v>
      </c>
      <c r="AA6" s="2">
        <v>24900</v>
      </c>
      <c r="AB6" s="66">
        <v>17720</v>
      </c>
      <c r="AC6" s="62">
        <f>(AB6-AA6)/AA6</f>
        <v>-0.28835341365461847</v>
      </c>
      <c r="AD6" s="2">
        <v>23557</v>
      </c>
      <c r="AE6" s="66">
        <v>17794</v>
      </c>
      <c r="AF6" s="62">
        <f>(AE6-AD6)/AD6</f>
        <v>-0.24464065882752473</v>
      </c>
      <c r="AG6" s="2">
        <v>23028</v>
      </c>
      <c r="AH6" s="66">
        <v>20711</v>
      </c>
      <c r="AI6" s="62">
        <f>(AH6-AG6)/AG6</f>
        <v>-0.10061664061142957</v>
      </c>
      <c r="AJ6" s="4">
        <v>22477</v>
      </c>
      <c r="AK6" s="66">
        <v>19977</v>
      </c>
      <c r="AL6" s="62">
        <f>(AK6-AJ6)/AJ6</f>
        <v>-0.11122480758108289</v>
      </c>
      <c r="AM6" s="3">
        <f t="shared" ref="AM6:AN10" si="0">C6+F6+I6+L6+O6+R6+U6+X6+AA6+AD6+AG6+AJ6</f>
        <v>315911</v>
      </c>
      <c r="AN6" s="3">
        <f t="shared" si="0"/>
        <v>222057</v>
      </c>
      <c r="AO6" s="14">
        <f>(AN6-AM6)/AM6</f>
        <v>-0.29709000319710299</v>
      </c>
    </row>
    <row r="7" spans="2:44">
      <c r="B7" s="19" t="s">
        <v>50</v>
      </c>
      <c r="C7" s="7">
        <v>35940</v>
      </c>
      <c r="D7" s="7">
        <v>35393</v>
      </c>
      <c r="E7" s="62">
        <f>(D7-C7)/C7</f>
        <v>-1.5219810795770729E-2</v>
      </c>
      <c r="F7" s="9">
        <v>37292</v>
      </c>
      <c r="G7" s="9">
        <v>39285</v>
      </c>
      <c r="H7" s="62">
        <f>(G7-F7)/F7</f>
        <v>5.3443097715327681E-2</v>
      </c>
      <c r="I7" s="9">
        <v>45660</v>
      </c>
      <c r="J7" s="9">
        <v>39168</v>
      </c>
      <c r="K7" s="62">
        <f>(J7-I7)/I7</f>
        <v>-0.14218134034165572</v>
      </c>
      <c r="L7" s="2">
        <v>33190</v>
      </c>
      <c r="M7" s="27">
        <v>18023</v>
      </c>
      <c r="N7" s="62">
        <f>(M7-L7)/L7</f>
        <v>-0.45697499246761075</v>
      </c>
      <c r="O7" s="2">
        <v>40937</v>
      </c>
      <c r="P7" s="2">
        <v>28652</v>
      </c>
      <c r="Q7" s="62">
        <f>(P7-O7)/O7</f>
        <v>-0.30009526833915529</v>
      </c>
      <c r="R7" s="2">
        <v>53509</v>
      </c>
      <c r="S7" s="40">
        <v>51931</v>
      </c>
      <c r="T7" s="62">
        <f>(S7-R7)/R7</f>
        <v>-2.9490366106636266E-2</v>
      </c>
      <c r="U7" s="2">
        <f>V7+1334</f>
        <v>37894</v>
      </c>
      <c r="V7" s="2">
        <v>36560</v>
      </c>
      <c r="W7" s="62">
        <f>(V7-U7)/U7</f>
        <v>-3.5203462289544518E-2</v>
      </c>
      <c r="X7" s="2">
        <v>39030</v>
      </c>
      <c r="Y7" s="2">
        <v>32378</v>
      </c>
      <c r="Z7" s="62">
        <f>(Y7-X7)/X7</f>
        <v>-0.17043300025621316</v>
      </c>
      <c r="AA7" s="2">
        <v>41854</v>
      </c>
      <c r="AB7" s="66">
        <v>32647</v>
      </c>
      <c r="AC7" s="62">
        <f>(AB7-AA7)/AA7</f>
        <v>-0.21997897453051082</v>
      </c>
      <c r="AD7" s="2">
        <v>38644</v>
      </c>
      <c r="AE7" s="66">
        <v>41220</v>
      </c>
      <c r="AF7" s="62">
        <f>(AE7-AD7)/AD7</f>
        <v>6.6659766069765036E-2</v>
      </c>
      <c r="AG7" s="2">
        <v>39535</v>
      </c>
      <c r="AH7" s="66">
        <v>50016</v>
      </c>
      <c r="AI7" s="62">
        <f>(AH7-AG7)/AG7</f>
        <v>0.26510686733274313</v>
      </c>
      <c r="AJ7" s="4">
        <v>39867</v>
      </c>
      <c r="AK7" s="66">
        <v>49474</v>
      </c>
      <c r="AL7" s="62">
        <f>(AK7-AJ7)/AJ7</f>
        <v>0.24097624601800988</v>
      </c>
      <c r="AM7" s="3">
        <f t="shared" si="0"/>
        <v>483352</v>
      </c>
      <c r="AN7" s="3">
        <f t="shared" si="0"/>
        <v>454747</v>
      </c>
      <c r="AO7" s="14">
        <f>(AN7-AM7)/AM7</f>
        <v>-5.9180473030007119E-2</v>
      </c>
    </row>
    <row r="8" spans="2:44">
      <c r="B8" s="19" t="s">
        <v>52</v>
      </c>
      <c r="C8" s="7">
        <v>15809</v>
      </c>
      <c r="D8" s="7">
        <v>14035</v>
      </c>
      <c r="E8" s="62">
        <f>(D8-C8)/C8</f>
        <v>-0.11221456132582706</v>
      </c>
      <c r="F8" s="9">
        <v>19831</v>
      </c>
      <c r="G8" s="9">
        <v>15542</v>
      </c>
      <c r="H8" s="62">
        <f>(G8-F8)/F8</f>
        <v>-0.21627754525742524</v>
      </c>
      <c r="I8" s="9">
        <v>21488</v>
      </c>
      <c r="J8" s="9">
        <v>18165</v>
      </c>
      <c r="K8" s="62">
        <f>(J8-I8)/I8</f>
        <v>-0.15464445271779598</v>
      </c>
      <c r="L8" s="2">
        <v>15601</v>
      </c>
      <c r="M8" s="2">
        <v>9436</v>
      </c>
      <c r="N8" s="62">
        <f>(M8-L8)/L8</f>
        <v>-0.3951669764758669</v>
      </c>
      <c r="O8" s="2">
        <v>19178</v>
      </c>
      <c r="P8" s="2">
        <v>14791</v>
      </c>
      <c r="Q8" s="62">
        <f>(P8-O8)/O8</f>
        <v>-0.22875169465011994</v>
      </c>
      <c r="R8" s="2">
        <v>26372</v>
      </c>
      <c r="S8" s="40">
        <v>28645</v>
      </c>
      <c r="T8" s="62">
        <f>(S8-R8)/R8</f>
        <v>8.6189898377066587E-2</v>
      </c>
      <c r="U8" s="2">
        <f>V8+1812</f>
        <v>16710</v>
      </c>
      <c r="V8" s="2">
        <v>14898</v>
      </c>
      <c r="W8" s="62">
        <f>(V8-U8)/U8</f>
        <v>-0.10843806104129264</v>
      </c>
      <c r="X8" s="2">
        <v>17513</v>
      </c>
      <c r="Y8" s="2">
        <v>11234</v>
      </c>
      <c r="Z8" s="62">
        <f>(Y8-X8)/X8</f>
        <v>-0.35853366070918746</v>
      </c>
      <c r="AA8" s="2">
        <v>18257</v>
      </c>
      <c r="AB8" s="66">
        <v>15772</v>
      </c>
      <c r="AC8" s="62">
        <f>(AB8-AA8)/AA8</f>
        <v>-0.13611217615161308</v>
      </c>
      <c r="AD8" s="2">
        <v>17164</v>
      </c>
      <c r="AE8" s="66">
        <v>19152</v>
      </c>
      <c r="AF8" s="62">
        <f>(AE8-AD8)/AD8</f>
        <v>0.11582381729200653</v>
      </c>
      <c r="AG8" s="2">
        <v>19065</v>
      </c>
      <c r="AH8" s="66">
        <v>21252</v>
      </c>
      <c r="AI8" s="62">
        <f>(AH8-AG8)/AG8</f>
        <v>0.11471282454760032</v>
      </c>
      <c r="AJ8" s="4">
        <v>18647</v>
      </c>
      <c r="AK8" s="66">
        <v>22675</v>
      </c>
      <c r="AL8" s="62">
        <f>(AK8-AJ8)/AJ8</f>
        <v>0.21601329972649755</v>
      </c>
      <c r="AM8" s="3">
        <f t="shared" si="0"/>
        <v>225635</v>
      </c>
      <c r="AN8" s="3">
        <f t="shared" si="0"/>
        <v>205597</v>
      </c>
      <c r="AO8" s="14">
        <f>(AN8-AM8)/AM8</f>
        <v>-8.8807144281693881E-2</v>
      </c>
    </row>
    <row r="9" spans="2:44">
      <c r="B9" s="20" t="s">
        <v>51</v>
      </c>
      <c r="C9" s="7">
        <v>2195</v>
      </c>
      <c r="D9" s="7">
        <v>1809</v>
      </c>
      <c r="E9" s="62">
        <f>(D9-C9)/C9</f>
        <v>-0.17585421412300684</v>
      </c>
      <c r="F9" s="9">
        <v>2828</v>
      </c>
      <c r="G9" s="9">
        <v>2465</v>
      </c>
      <c r="H9" s="62">
        <f>(G9-F9)/F9</f>
        <v>-0.12835926449787835</v>
      </c>
      <c r="I9" s="9">
        <v>3295</v>
      </c>
      <c r="J9" s="9">
        <v>2580</v>
      </c>
      <c r="K9" s="62">
        <f>(J9-I9)/I9</f>
        <v>-0.21699544764795145</v>
      </c>
      <c r="L9" s="2">
        <v>2943</v>
      </c>
      <c r="M9" s="2">
        <v>2310</v>
      </c>
      <c r="N9" s="62">
        <f>(M9-L9)/L9</f>
        <v>-0.21508664627930682</v>
      </c>
      <c r="O9" s="2">
        <v>3556</v>
      </c>
      <c r="P9" s="2">
        <v>2615</v>
      </c>
      <c r="Q9" s="62">
        <f>(P9-O9)/O9</f>
        <v>-0.26462317210348707</v>
      </c>
      <c r="R9" s="2">
        <v>4072</v>
      </c>
      <c r="S9" s="40">
        <v>4622</v>
      </c>
      <c r="T9" s="62">
        <f>(S9-R9)/R9</f>
        <v>0.13506876227897838</v>
      </c>
      <c r="U9" s="2">
        <f>V9+296</f>
        <v>3194</v>
      </c>
      <c r="V9" s="2">
        <v>2898</v>
      </c>
      <c r="W9" s="62">
        <f>(V9-U9)/U9</f>
        <v>-9.2673763306199128E-2</v>
      </c>
      <c r="X9" s="2">
        <v>3297</v>
      </c>
      <c r="Y9" s="2">
        <v>2616</v>
      </c>
      <c r="Z9" s="62">
        <f>(Y9-X9)/X9</f>
        <v>-0.20655141037306643</v>
      </c>
      <c r="AA9" s="27">
        <v>3170</v>
      </c>
      <c r="AB9" s="66">
        <v>2846</v>
      </c>
      <c r="AC9" s="62">
        <f>(AB9-AA9)/AA9</f>
        <v>-0.10220820189274447</v>
      </c>
      <c r="AD9" s="27">
        <v>3091</v>
      </c>
      <c r="AE9" s="66">
        <v>3054</v>
      </c>
      <c r="AF9" s="62">
        <f>(AE9-AD9)/AD9</f>
        <v>-1.1970236169524426E-2</v>
      </c>
      <c r="AG9" s="27">
        <v>3080</v>
      </c>
      <c r="AH9" s="66">
        <v>3226</v>
      </c>
      <c r="AI9" s="62">
        <f>(AH9-AG9)/AG9</f>
        <v>4.7402597402597405E-2</v>
      </c>
      <c r="AJ9" s="4">
        <v>3248</v>
      </c>
      <c r="AK9" s="66">
        <v>3526</v>
      </c>
      <c r="AL9" s="62">
        <f>(AK9-AJ9)/AJ9</f>
        <v>8.5591133004926115E-2</v>
      </c>
      <c r="AM9" s="3">
        <f t="shared" si="0"/>
        <v>37969</v>
      </c>
      <c r="AN9" s="3">
        <f t="shared" si="0"/>
        <v>34567</v>
      </c>
      <c r="AO9" s="14">
        <f>(AN9-AM9)/AM9</f>
        <v>-8.9599410045036743E-2</v>
      </c>
    </row>
    <row r="10" spans="2:44" s="10" customFormat="1">
      <c r="B10" s="22" t="s">
        <v>7</v>
      </c>
      <c r="C10" s="3">
        <f>SUM(C6:C9)</f>
        <v>81994</v>
      </c>
      <c r="D10" s="3">
        <f>SUM(D6:D9)</f>
        <v>71731</v>
      </c>
      <c r="E10" s="63">
        <f>(D10-C10)/C10</f>
        <v>-0.12516769519720955</v>
      </c>
      <c r="F10" s="3">
        <f>SUM(F6:F9)</f>
        <v>87102</v>
      </c>
      <c r="G10" s="3">
        <f>SUM(G6:G9)</f>
        <v>79940</v>
      </c>
      <c r="H10" s="63">
        <f>(G10-F10)/F10</f>
        <v>-8.2225436844159727E-2</v>
      </c>
      <c r="I10" s="3">
        <f>SUM(I6:I9)</f>
        <v>99442</v>
      </c>
      <c r="J10" s="3">
        <f>SUM(J6:J9)</f>
        <v>81690</v>
      </c>
      <c r="K10" s="63">
        <f>(J10-I10)/I10</f>
        <v>-0.17851611994931718</v>
      </c>
      <c r="L10" s="23">
        <f>SUM(L6:L9)</f>
        <v>75550</v>
      </c>
      <c r="M10" s="3">
        <f>SUM(M6:M9)</f>
        <v>38926</v>
      </c>
      <c r="N10" s="62">
        <f>(M10-L10)/L10</f>
        <v>-0.48476505625413635</v>
      </c>
      <c r="O10" s="3">
        <f>SUM(O6:O9)</f>
        <v>92561</v>
      </c>
      <c r="P10" s="3">
        <f>SUM(P6:P9)</f>
        <v>59894</v>
      </c>
      <c r="Q10" s="62">
        <f>(P10-O10)/O10</f>
        <v>-0.35292401767483067</v>
      </c>
      <c r="R10" s="3">
        <f>SUM(R6:R9)</f>
        <v>117817</v>
      </c>
      <c r="S10" s="3">
        <f>SUM(S6:S9)</f>
        <v>110234</v>
      </c>
      <c r="T10" s="62">
        <f>(S10-R10)/R10</f>
        <v>-6.4362528327830446E-2</v>
      </c>
      <c r="U10" s="3">
        <f>SUM(U6:U9)</f>
        <v>83184</v>
      </c>
      <c r="V10" s="3">
        <f>SUM(V6:V9)</f>
        <v>72505</v>
      </c>
      <c r="W10" s="62">
        <f>(V10-U10)/U10</f>
        <v>-0.12837805347182149</v>
      </c>
      <c r="X10" s="3">
        <f>SUM(X6:X9)</f>
        <v>85633</v>
      </c>
      <c r="Y10" s="3">
        <f>SUM(Y6:Y9)</f>
        <v>60986</v>
      </c>
      <c r="Z10" s="62">
        <f>(Y10-X10)/X10</f>
        <v>-0.28782128385085187</v>
      </c>
      <c r="AA10" s="3">
        <f>SUM(AA6:AA9)</f>
        <v>88181</v>
      </c>
      <c r="AB10" s="3">
        <f>SUM(AB6:AB9)</f>
        <v>68985</v>
      </c>
      <c r="AC10" s="62">
        <f>(AB10-AA10)/AA10</f>
        <v>-0.21768861772944284</v>
      </c>
      <c r="AD10" s="3">
        <f>SUM(AD6:AD9)</f>
        <v>82456</v>
      </c>
      <c r="AE10" s="3">
        <f>SUM(AE6:AE9)</f>
        <v>81220</v>
      </c>
      <c r="AF10" s="62">
        <f>(AE10-AD10)/AD10</f>
        <v>-1.4989812748617444E-2</v>
      </c>
      <c r="AG10" s="3">
        <f>SUM(AG6:AG9)</f>
        <v>84708</v>
      </c>
      <c r="AH10" s="3">
        <f>SUM(AH6:AH9)</f>
        <v>95205</v>
      </c>
      <c r="AI10" s="62">
        <f>(AH10-AG10)/AG10</f>
        <v>0.12391981867119989</v>
      </c>
      <c r="AJ10" s="3">
        <f>SUM(AJ6:AJ9)</f>
        <v>84239</v>
      </c>
      <c r="AK10" s="3">
        <f>SUM(AK6:AK9)</f>
        <v>95652</v>
      </c>
      <c r="AL10" s="62">
        <f>(AK10-AJ10)/AJ10</f>
        <v>0.13548356461971295</v>
      </c>
      <c r="AM10" s="3">
        <f t="shared" si="0"/>
        <v>1062867</v>
      </c>
      <c r="AN10" s="3">
        <f t="shared" si="0"/>
        <v>916968</v>
      </c>
      <c r="AO10" s="15">
        <f>(AN10-AM10)/AM10</f>
        <v>-0.13726929145415184</v>
      </c>
      <c r="AQ10" s="25"/>
      <c r="AR10" s="24"/>
    </row>
    <row r="12" spans="2:44">
      <c r="B12" s="25" t="s">
        <v>22</v>
      </c>
      <c r="C12" s="86" t="s">
        <v>89</v>
      </c>
      <c r="X12" s="144"/>
      <c r="AM12" s="184"/>
    </row>
    <row r="13" spans="2:44" ht="20.25">
      <c r="C13" s="86" t="s">
        <v>139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180"/>
      <c r="AH13" s="26"/>
      <c r="AI13" s="26"/>
    </row>
    <row r="14" spans="2:44" s="64" customFormat="1" ht="20.25">
      <c r="C14" s="86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180"/>
      <c r="AH14" s="80"/>
      <c r="AI14" s="80"/>
    </row>
    <row r="15" spans="2:44" ht="20.25">
      <c r="C15"/>
      <c r="D15" s="26"/>
      <c r="E15" s="26"/>
      <c r="F15" s="26"/>
      <c r="G15" s="26"/>
      <c r="AF15"/>
      <c r="AG15" s="180"/>
    </row>
    <row r="16" spans="2:44"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181"/>
      <c r="AH16" s="27"/>
      <c r="AI16" s="27"/>
    </row>
    <row r="17" spans="3:35">
      <c r="C17" s="27"/>
      <c r="D17" s="27"/>
      <c r="E17" s="27"/>
      <c r="F17" s="27"/>
      <c r="G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3:35">
      <c r="C18" s="27"/>
      <c r="D18" s="27"/>
      <c r="E18" s="27"/>
      <c r="F18" s="27"/>
      <c r="G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3:35">
      <c r="C19" s="27"/>
      <c r="D19" s="27"/>
      <c r="E19" s="27"/>
      <c r="F19" s="27"/>
      <c r="G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3:35">
      <c r="C20" s="27"/>
      <c r="D20" s="27"/>
      <c r="E20" s="27"/>
      <c r="F20" s="27"/>
      <c r="G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3:35">
      <c r="C21" s="27"/>
      <c r="D21" s="27"/>
      <c r="E21" s="27"/>
      <c r="F21" s="27"/>
      <c r="G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3:35">
      <c r="C22" s="27"/>
      <c r="D22" s="27"/>
      <c r="E22" s="27"/>
      <c r="F22" s="27"/>
      <c r="G22" s="27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hyperlinks>
    <hyperlink ref="C12" r:id="rId1" xr:uid="{15FDF839-D4E6-45EB-B69B-1D40CB275671}"/>
    <hyperlink ref="C13" r:id="rId2" xr:uid="{291ADFF5-9287-497C-B8A7-7430F97F75D1}"/>
  </hyperlinks>
  <pageMargins left="0.7" right="0.7" top="0.78740157499999996" bottom="0.78740157499999996" header="0.3" footer="0.3"/>
  <pageSetup paperSize="9" orientation="portrait" verticalDpi="0" r:id="rId3"/>
  <ignoredErrors>
    <ignoredError sqref="C10:D10 I10:J10 L10:M10 R10:S10 O10:P10 V10 X10:Y10 AA10:AB10 AD10:AE10 AG10:AH10 AJ10:AK10" formulaRange="1"/>
    <ignoredError sqref="E10 H10 K10 N10 Q10 T10 W10 Z10 AF10" formula="1"/>
    <ignoredError sqref="F10:G10" formula="1" formulaRange="1"/>
    <ignoredError sqref="AC6:AC9 AI6:AI9 AL6:AL10" evalError="1"/>
    <ignoredError sqref="AC10 AI10" evalError="1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3AF68-5461-41B0-BDDC-6F0F8E526ED9}">
  <dimension ref="A1:AR35"/>
  <sheetViews>
    <sheetView topLeftCell="B1" zoomScaleNormal="100" workbookViewId="0">
      <pane xSplit="1" topLeftCell="AE1" activePane="topRight" state="frozen"/>
      <selection activeCell="B1" sqref="B1"/>
      <selection pane="topRight" activeCell="AM13" sqref="AM13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4" width="7.5703125" style="25" bestFit="1" customWidth="1"/>
    <col min="5" max="5" width="11.5703125" style="25" customWidth="1"/>
    <col min="6" max="7" width="7.5703125" style="25" bestFit="1" customWidth="1"/>
    <col min="8" max="8" width="10.85546875" style="25" customWidth="1"/>
    <col min="9" max="10" width="7.5703125" style="25" bestFit="1" customWidth="1"/>
    <col min="11" max="11" width="10" style="25" customWidth="1"/>
    <col min="12" max="13" width="7.5703125" style="25" bestFit="1" customWidth="1"/>
    <col min="14" max="14" width="11.140625" style="25" customWidth="1"/>
    <col min="15" max="16" width="7.5703125" style="25" bestFit="1" customWidth="1"/>
    <col min="17" max="17" width="9.85546875" style="25" bestFit="1" customWidth="1"/>
    <col min="18" max="19" width="7.5703125" style="25" bestFit="1" customWidth="1"/>
    <col min="20" max="21" width="11.42578125" style="25"/>
    <col min="22" max="22" width="10.5703125" style="25" customWidth="1"/>
    <col min="23" max="16384" width="11.42578125" style="25"/>
  </cols>
  <sheetData>
    <row r="1" spans="2:44">
      <c r="B1" s="10" t="s">
        <v>49</v>
      </c>
    </row>
    <row r="2" spans="2:44">
      <c r="S2" s="27"/>
    </row>
    <row r="4" spans="2:44" ht="45" customHeight="1">
      <c r="B4" s="18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5" t="s">
        <v>29</v>
      </c>
      <c r="AN4" s="236"/>
      <c r="AO4" s="237" t="s">
        <v>28</v>
      </c>
    </row>
    <row r="5" spans="2:44" ht="15" customHeight="1">
      <c r="B5" s="1"/>
      <c r="C5" s="13">
        <v>2019</v>
      </c>
      <c r="D5" s="13">
        <v>2020</v>
      </c>
      <c r="E5" s="17" t="s">
        <v>34</v>
      </c>
      <c r="F5" s="13">
        <v>2019</v>
      </c>
      <c r="G5" s="13">
        <v>2020</v>
      </c>
      <c r="H5" s="28" t="s">
        <v>34</v>
      </c>
      <c r="I5" s="13">
        <v>2019</v>
      </c>
      <c r="J5" s="13">
        <v>2020</v>
      </c>
      <c r="K5" s="28" t="s">
        <v>34</v>
      </c>
      <c r="L5" s="13">
        <v>2019</v>
      </c>
      <c r="M5" s="13">
        <v>2020</v>
      </c>
      <c r="N5" s="28" t="s">
        <v>34</v>
      </c>
      <c r="O5" s="13">
        <v>2019</v>
      </c>
      <c r="P5" s="13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3">
        <v>2019</v>
      </c>
      <c r="AN5" s="13">
        <v>2020</v>
      </c>
      <c r="AO5" s="238"/>
    </row>
    <row r="6" spans="2:44">
      <c r="B6" s="19" t="s">
        <v>6</v>
      </c>
      <c r="C6" s="6">
        <v>10979</v>
      </c>
      <c r="D6" s="5">
        <v>22016</v>
      </c>
      <c r="E6" s="62">
        <f>(D6-C6)/C6</f>
        <v>1.0052828126423172</v>
      </c>
      <c r="F6" s="9">
        <v>19205</v>
      </c>
      <c r="G6" s="8">
        <v>37727</v>
      </c>
      <c r="H6" s="62">
        <f>(G6-F6)/F6</f>
        <v>0.96443634470190054</v>
      </c>
      <c r="I6" s="9">
        <v>38628</v>
      </c>
      <c r="J6" s="8">
        <v>39887</v>
      </c>
      <c r="K6" s="62">
        <f>(J6-I6)/I6</f>
        <v>3.2592937765351555E-2</v>
      </c>
      <c r="L6" s="2">
        <v>24416</v>
      </c>
      <c r="M6" s="2">
        <v>21825</v>
      </c>
      <c r="N6" s="62">
        <f>(M6-L6)/L6</f>
        <v>-0.1061189384010485</v>
      </c>
      <c r="O6" s="2">
        <v>27126</v>
      </c>
      <c r="P6" s="2">
        <v>25073</v>
      </c>
      <c r="Q6" s="62">
        <f>(P6-O6)/O6</f>
        <v>-7.5683845756838453E-2</v>
      </c>
      <c r="R6" s="2">
        <v>36024</v>
      </c>
      <c r="S6" s="66">
        <v>57067</v>
      </c>
      <c r="T6" s="62">
        <f>(S6-R6)/R6</f>
        <v>0.58413835220963806</v>
      </c>
      <c r="U6" s="2">
        <v>15398</v>
      </c>
      <c r="V6" s="66">
        <v>69427</v>
      </c>
      <c r="W6" s="62">
        <f>(V6-U6)/U6</f>
        <v>3.5088323158851797</v>
      </c>
      <c r="X6" s="2">
        <v>21544</v>
      </c>
      <c r="Y6" s="66">
        <v>44372</v>
      </c>
      <c r="Z6" s="62">
        <f>(Y6-X6)/X6</f>
        <v>1.0595989602673599</v>
      </c>
      <c r="AA6" s="2">
        <v>35308</v>
      </c>
      <c r="AB6" s="66">
        <v>71296</v>
      </c>
      <c r="AC6" s="62">
        <f>(AB6-AA6)/AA6</f>
        <v>1.0192590914240398</v>
      </c>
      <c r="AD6" s="2">
        <v>39996</v>
      </c>
      <c r="AE6" s="81">
        <v>76341</v>
      </c>
      <c r="AF6" s="62">
        <f>(AE6-AD6)/AD6</f>
        <v>0.90871587158715872</v>
      </c>
      <c r="AG6" s="2">
        <v>47803</v>
      </c>
      <c r="AH6" s="66">
        <v>64357</v>
      </c>
      <c r="AI6" s="62">
        <f>(AH6-AG6)/AG6</f>
        <v>0.34629625755705706</v>
      </c>
      <c r="AJ6" s="4">
        <v>70829</v>
      </c>
      <c r="AK6" s="66">
        <v>80721</v>
      </c>
      <c r="AL6" s="62">
        <f>(AK6-AJ6)/AJ6</f>
        <v>0.13966030863064563</v>
      </c>
      <c r="AM6" s="3">
        <f t="shared" ref="AM6:AN10" si="0">C6+F6+I6+L6+O6+R6+U6+X6+AA6+AD6+AG6+AJ6</f>
        <v>387256</v>
      </c>
      <c r="AN6" s="3">
        <f t="shared" si="0"/>
        <v>610109</v>
      </c>
      <c r="AO6" s="14">
        <f>(AN6-AM6)/AM6</f>
        <v>0.57546687462557067</v>
      </c>
    </row>
    <row r="7" spans="2:44">
      <c r="B7" s="19" t="s">
        <v>3</v>
      </c>
      <c r="C7" s="7">
        <v>3394</v>
      </c>
      <c r="D7" s="7">
        <v>5257</v>
      </c>
      <c r="E7" s="62">
        <f>(D7-C7)/C7</f>
        <v>0.54890984089569828</v>
      </c>
      <c r="F7" s="9">
        <v>5670</v>
      </c>
      <c r="G7" s="9">
        <v>9395</v>
      </c>
      <c r="H7" s="62">
        <f>(G7-F7)/F7</f>
        <v>0.65696649029982368</v>
      </c>
      <c r="I7" s="9">
        <v>10593</v>
      </c>
      <c r="J7" s="9">
        <v>10121</v>
      </c>
      <c r="K7" s="62">
        <f>(J7-I7)/I7</f>
        <v>-4.4557726800717457E-2</v>
      </c>
      <c r="L7" s="2">
        <v>6555</v>
      </c>
      <c r="M7" s="27">
        <v>4632</v>
      </c>
      <c r="N7" s="62">
        <f>(M7-L7)/L7</f>
        <v>-0.2933638443935927</v>
      </c>
      <c r="O7" s="2">
        <v>5890</v>
      </c>
      <c r="P7" s="2">
        <v>7162</v>
      </c>
      <c r="Q7" s="62">
        <f>(P7-O7)/O7</f>
        <v>0.21595925297113752</v>
      </c>
      <c r="R7" s="2">
        <v>6664</v>
      </c>
      <c r="S7" s="66">
        <v>13906</v>
      </c>
      <c r="T7" s="62">
        <f>(S7-R7)/R7</f>
        <v>1.0867346938775511</v>
      </c>
      <c r="U7" s="2">
        <v>2529</v>
      </c>
      <c r="V7" s="66">
        <v>17974</v>
      </c>
      <c r="W7" s="62">
        <f>(V7-U7)/U7</f>
        <v>6.1071569790430997</v>
      </c>
      <c r="X7" s="2">
        <v>4702</v>
      </c>
      <c r="Y7" s="66">
        <v>17161</v>
      </c>
      <c r="Z7" s="62">
        <f>(Y7-X7)/X7</f>
        <v>2.6497235219055719</v>
      </c>
      <c r="AA7" s="2">
        <v>6684</v>
      </c>
      <c r="AB7" s="66">
        <v>19323</v>
      </c>
      <c r="AC7" s="62">
        <f>(AB7-AA7)/AA7</f>
        <v>1.8909335727109515</v>
      </c>
      <c r="AD7" s="2">
        <v>9079</v>
      </c>
      <c r="AE7" s="66">
        <v>18392</v>
      </c>
      <c r="AF7" s="62">
        <f>(AE7-AD7)/AD7</f>
        <v>1.0257737636303557</v>
      </c>
      <c r="AG7" s="2">
        <v>10373</v>
      </c>
      <c r="AH7" s="66">
        <v>15784</v>
      </c>
      <c r="AI7" s="62">
        <f>(AH7-AG7)/AG7</f>
        <v>0.52164272630868602</v>
      </c>
      <c r="AJ7" s="4">
        <v>19671</v>
      </c>
      <c r="AK7" s="66">
        <v>23572</v>
      </c>
      <c r="AL7" s="62">
        <f>(AK7-AJ7)/AJ7</f>
        <v>0.19831223628691982</v>
      </c>
      <c r="AM7" s="3">
        <f t="shared" si="0"/>
        <v>91804</v>
      </c>
      <c r="AN7" s="3">
        <f t="shared" si="0"/>
        <v>162679</v>
      </c>
      <c r="AO7" s="14">
        <f>(AN7-AM7)/AM7</f>
        <v>0.77202518408783927</v>
      </c>
    </row>
    <row r="8" spans="2:44">
      <c r="B8" s="19" t="s">
        <v>4</v>
      </c>
      <c r="C8" s="7">
        <v>474</v>
      </c>
      <c r="D8" s="7">
        <v>850</v>
      </c>
      <c r="E8" s="62">
        <f>(D8-C8)/C8</f>
        <v>0.7932489451476793</v>
      </c>
      <c r="F8" s="9">
        <v>694</v>
      </c>
      <c r="G8" s="9">
        <v>1826</v>
      </c>
      <c r="H8" s="62">
        <f>(G8-F8)/F8</f>
        <v>1.6311239193083573</v>
      </c>
      <c r="I8" s="9">
        <v>1430</v>
      </c>
      <c r="J8" s="9">
        <v>1546</v>
      </c>
      <c r="K8" s="62">
        <f>(J8-I8)/I8</f>
        <v>8.1118881118881117E-2</v>
      </c>
      <c r="L8" s="2">
        <v>973</v>
      </c>
      <c r="M8" s="2">
        <v>708</v>
      </c>
      <c r="N8" s="62">
        <f>(M8-L8)/L8</f>
        <v>-0.27235354573484072</v>
      </c>
      <c r="O8" s="2">
        <v>931</v>
      </c>
      <c r="P8" s="2">
        <v>1083</v>
      </c>
      <c r="Q8" s="62">
        <f>(P8-O8)/O8</f>
        <v>0.16326530612244897</v>
      </c>
      <c r="R8" s="2">
        <v>1211</v>
      </c>
      <c r="S8" s="66">
        <v>1816</v>
      </c>
      <c r="T8" s="62">
        <f>(S8-R8)/R8</f>
        <v>0.4995871180842279</v>
      </c>
      <c r="U8" s="2">
        <v>515</v>
      </c>
      <c r="V8" s="66">
        <v>2018</v>
      </c>
      <c r="W8" s="62">
        <f>(V8-U8)/U8</f>
        <v>2.9184466019417474</v>
      </c>
      <c r="X8" s="2">
        <v>586</v>
      </c>
      <c r="Y8" s="66">
        <v>2037</v>
      </c>
      <c r="Z8" s="62">
        <f>(Y8-X8)/X8</f>
        <v>2.4761092150170647</v>
      </c>
      <c r="AA8" s="2">
        <v>1076</v>
      </c>
      <c r="AB8" s="66">
        <v>2734</v>
      </c>
      <c r="AC8" s="62">
        <f>(AB8-AA8)/AA8</f>
        <v>1.5408921933085502</v>
      </c>
      <c r="AD8" s="2">
        <v>1213</v>
      </c>
      <c r="AE8" s="66">
        <v>2375</v>
      </c>
      <c r="AF8" s="62">
        <f>(AE8-AD8)/AD8</f>
        <v>0.95795548227535032</v>
      </c>
      <c r="AG8" s="2">
        <v>1399</v>
      </c>
      <c r="AH8" s="66">
        <v>2632</v>
      </c>
      <c r="AI8" s="62">
        <f>(AH8-AG8)/AG8</f>
        <v>0.88134381701215159</v>
      </c>
      <c r="AJ8" s="4">
        <v>2087</v>
      </c>
      <c r="AK8" s="66">
        <v>3399</v>
      </c>
      <c r="AL8" s="62">
        <f>(AK8-AJ8)/AJ8</f>
        <v>0.62865356971729758</v>
      </c>
      <c r="AM8" s="3">
        <f t="shared" si="0"/>
        <v>12589</v>
      </c>
      <c r="AN8" s="3">
        <f t="shared" si="0"/>
        <v>23024</v>
      </c>
      <c r="AO8" s="14">
        <f>(AN8-AM8)/AM8</f>
        <v>0.82889824449916594</v>
      </c>
    </row>
    <row r="9" spans="2:44">
      <c r="B9" s="20" t="s">
        <v>5</v>
      </c>
      <c r="C9" s="7">
        <v>132</v>
      </c>
      <c r="D9" s="7">
        <v>168</v>
      </c>
      <c r="E9" s="62">
        <f>(D9-C9)/C9</f>
        <v>0.27272727272727271</v>
      </c>
      <c r="F9" s="9">
        <v>115</v>
      </c>
      <c r="G9" s="9">
        <v>351</v>
      </c>
      <c r="H9" s="62">
        <f>(G9-F9)/F9</f>
        <v>2.0521739130434784</v>
      </c>
      <c r="I9" s="9">
        <v>175</v>
      </c>
      <c r="J9" s="9">
        <v>256</v>
      </c>
      <c r="K9" s="62">
        <f>(J9-I9)/I9</f>
        <v>0.46285714285714286</v>
      </c>
      <c r="L9" s="2">
        <v>131</v>
      </c>
      <c r="M9" s="2">
        <v>80</v>
      </c>
      <c r="N9" s="62">
        <f>(M9-L9)/L9</f>
        <v>-0.38931297709923662</v>
      </c>
      <c r="O9" s="2">
        <v>203</v>
      </c>
      <c r="P9" s="2">
        <v>177</v>
      </c>
      <c r="Q9" s="62">
        <f>(P9-O9)/O9</f>
        <v>-0.12807881773399016</v>
      </c>
      <c r="R9" s="1">
        <v>230</v>
      </c>
      <c r="S9" s="11">
        <v>246</v>
      </c>
      <c r="T9" s="62">
        <f>(S9-R9)/R9</f>
        <v>6.9565217391304349E-2</v>
      </c>
      <c r="U9" s="1">
        <v>80</v>
      </c>
      <c r="V9" s="66">
        <v>207</v>
      </c>
      <c r="W9" s="62">
        <f>(V9-U9)/U9</f>
        <v>1.5874999999999999</v>
      </c>
      <c r="X9" s="2">
        <v>89</v>
      </c>
      <c r="Y9" s="66">
        <v>202</v>
      </c>
      <c r="Z9" s="62">
        <f>(Y9-X9)/X9</f>
        <v>1.2696629213483146</v>
      </c>
      <c r="AA9" s="81">
        <v>222</v>
      </c>
      <c r="AB9" s="66">
        <v>122</v>
      </c>
      <c r="AC9" s="62">
        <f>(AB9-AA9)/AA9</f>
        <v>-0.45045045045045046</v>
      </c>
      <c r="AD9" s="81">
        <v>166</v>
      </c>
      <c r="AE9" s="66">
        <v>164</v>
      </c>
      <c r="AF9" s="62">
        <f>(AE9-AD9)/AD9</f>
        <v>-1.2048192771084338E-2</v>
      </c>
      <c r="AG9" s="27">
        <v>299</v>
      </c>
      <c r="AH9" s="66">
        <v>114</v>
      </c>
      <c r="AI9" s="62">
        <f>(AH9-AG9)/AG9</f>
        <v>-0.61872909698996659</v>
      </c>
      <c r="AJ9" s="4">
        <v>298</v>
      </c>
      <c r="AK9" s="66">
        <v>277</v>
      </c>
      <c r="AL9" s="62">
        <f>(AK9-AJ9)/AJ9</f>
        <v>-7.0469798657718116E-2</v>
      </c>
      <c r="AM9" s="3">
        <f t="shared" si="0"/>
        <v>2140</v>
      </c>
      <c r="AN9" s="3">
        <f t="shared" si="0"/>
        <v>2364</v>
      </c>
      <c r="AO9" s="14">
        <f>(AN9-AM9)/AM9</f>
        <v>0.10467289719626169</v>
      </c>
    </row>
    <row r="10" spans="2:44" s="10" customFormat="1">
      <c r="B10" s="22" t="s">
        <v>7</v>
      </c>
      <c r="C10" s="3">
        <f>SUM(C6:C9)</f>
        <v>14979</v>
      </c>
      <c r="D10" s="3">
        <f>SUM(D6:D9)</f>
        <v>28291</v>
      </c>
      <c r="E10" s="63">
        <f>(D10-C10)/C10</f>
        <v>0.88871086187328929</v>
      </c>
      <c r="F10" s="3">
        <f>SUM(F6:F9)</f>
        <v>25684</v>
      </c>
      <c r="G10" s="3">
        <f>SUM(G6:G9)</f>
        <v>49299</v>
      </c>
      <c r="H10" s="63">
        <f>(G10-F10)/F10</f>
        <v>0.91944401183616264</v>
      </c>
      <c r="I10" s="3">
        <f>SUM(I6:I9)</f>
        <v>50826</v>
      </c>
      <c r="J10" s="3">
        <f>SUM(J6:J9)</f>
        <v>51810</v>
      </c>
      <c r="K10" s="63">
        <f>(J10-I10)/I10</f>
        <v>1.9360169991736512E-2</v>
      </c>
      <c r="L10" s="23">
        <f>SUM(L6:L9)</f>
        <v>32075</v>
      </c>
      <c r="M10" s="3">
        <f>SUM(M6:M9)</f>
        <v>27245</v>
      </c>
      <c r="N10" s="63">
        <f>(M10-L10)/L10</f>
        <v>-0.15058456742010912</v>
      </c>
      <c r="O10" s="23">
        <f>SUM(O6:O9)</f>
        <v>34150</v>
      </c>
      <c r="P10" s="3">
        <f>SUM(P6:P9)</f>
        <v>33495</v>
      </c>
      <c r="Q10" s="63">
        <f>(P10-O10)/O10</f>
        <v>-1.9180087847730599E-2</v>
      </c>
      <c r="R10" s="3">
        <f t="shared" ref="R10:AK10" si="1">SUM(R6:R9)</f>
        <v>44129</v>
      </c>
      <c r="S10" s="3">
        <f t="shared" si="1"/>
        <v>73035</v>
      </c>
      <c r="T10" s="63">
        <f>(S10-R10)/R10</f>
        <v>0.65503410455709399</v>
      </c>
      <c r="U10" s="3">
        <f t="shared" si="1"/>
        <v>18522</v>
      </c>
      <c r="V10" s="3">
        <f t="shared" si="1"/>
        <v>89626</v>
      </c>
      <c r="W10" s="63">
        <f>(V10-U10)/U10</f>
        <v>3.8388942878738797</v>
      </c>
      <c r="X10" s="3">
        <f t="shared" si="1"/>
        <v>26921</v>
      </c>
      <c r="Y10" s="3">
        <f t="shared" si="1"/>
        <v>63772</v>
      </c>
      <c r="Z10" s="63">
        <f>(Y10-X10)/X10</f>
        <v>1.368857026113443</v>
      </c>
      <c r="AA10" s="3">
        <f t="shared" si="1"/>
        <v>43290</v>
      </c>
      <c r="AB10" s="3">
        <f t="shared" si="1"/>
        <v>93475</v>
      </c>
      <c r="AC10" s="63">
        <f>(AB10-AA10)/AA10</f>
        <v>1.1592746592746592</v>
      </c>
      <c r="AD10" s="3">
        <f t="shared" si="1"/>
        <v>50454</v>
      </c>
      <c r="AE10" s="3">
        <f t="shared" si="1"/>
        <v>97272</v>
      </c>
      <c r="AF10" s="63">
        <f>(AE10-AD10)/AD10</f>
        <v>0.9279343560470924</v>
      </c>
      <c r="AG10" s="3">
        <f t="shared" si="1"/>
        <v>59874</v>
      </c>
      <c r="AH10" s="3">
        <f t="shared" si="1"/>
        <v>82887</v>
      </c>
      <c r="AI10" s="63">
        <f>(AH10-AG10)/AG10</f>
        <v>0.38435715001503157</v>
      </c>
      <c r="AJ10" s="3">
        <f t="shared" si="1"/>
        <v>92885</v>
      </c>
      <c r="AK10" s="3">
        <f t="shared" si="1"/>
        <v>107969</v>
      </c>
      <c r="AL10" s="63">
        <f>(AK10-AJ10)/AJ10</f>
        <v>0.16239435861549228</v>
      </c>
      <c r="AM10" s="3">
        <f t="shared" si="0"/>
        <v>493789</v>
      </c>
      <c r="AN10" s="3">
        <f t="shared" si="0"/>
        <v>798176</v>
      </c>
      <c r="AO10" s="15">
        <f>(AN10-AM10)/AM10</f>
        <v>0.61643130972945936</v>
      </c>
      <c r="AQ10" s="25"/>
      <c r="AR10" s="24"/>
    </row>
    <row r="12" spans="2:44">
      <c r="B12" s="25" t="s">
        <v>22</v>
      </c>
    </row>
    <row r="13" spans="2:44">
      <c r="B13" s="86" t="s">
        <v>94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184"/>
      <c r="AJ13" s="184"/>
      <c r="AK13" s="184"/>
      <c r="AL13" s="184"/>
      <c r="AM13" s="184"/>
      <c r="AN13" s="184"/>
    </row>
    <row r="14" spans="2:44">
      <c r="C14" s="51"/>
      <c r="D14" s="26"/>
      <c r="E14" s="26"/>
      <c r="F14" s="26"/>
      <c r="G14" s="26"/>
      <c r="AI14" s="184"/>
      <c r="AJ14" s="184"/>
      <c r="AK14" s="184"/>
      <c r="AL14" s="184"/>
      <c r="AM14" s="184"/>
      <c r="AN14" s="184"/>
    </row>
    <row r="15" spans="2:44"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184"/>
      <c r="AJ15" s="184"/>
      <c r="AK15" s="184"/>
      <c r="AL15" s="184"/>
      <c r="AM15" s="184"/>
      <c r="AN15" s="184"/>
    </row>
    <row r="16" spans="2:44">
      <c r="C16" s="27"/>
      <c r="D16" s="27"/>
      <c r="E16" s="27"/>
      <c r="F16" s="27"/>
      <c r="G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184"/>
      <c r="AJ16" s="184"/>
      <c r="AK16" s="184"/>
      <c r="AL16" s="184"/>
      <c r="AM16" s="184"/>
      <c r="AN16" s="184"/>
    </row>
    <row r="17" spans="3:40">
      <c r="C17" s="27"/>
      <c r="D17" s="27"/>
      <c r="E17" s="27"/>
      <c r="F17" s="27"/>
      <c r="G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184"/>
      <c r="AJ17" s="184"/>
      <c r="AK17" s="184"/>
      <c r="AL17" s="184"/>
      <c r="AM17" s="184"/>
      <c r="AN17" s="184"/>
    </row>
    <row r="18" spans="3:40">
      <c r="C18" s="27"/>
      <c r="D18" s="27"/>
      <c r="E18" s="27"/>
      <c r="F18" s="27"/>
      <c r="G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184"/>
      <c r="AJ18" s="184"/>
      <c r="AK18" s="184"/>
      <c r="AL18" s="184"/>
      <c r="AM18" s="184"/>
      <c r="AN18" s="184"/>
    </row>
    <row r="19" spans="3:40">
      <c r="C19" s="56"/>
      <c r="D19" s="56"/>
      <c r="E19" s="56"/>
      <c r="F19" s="56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6"/>
      <c r="X19" s="56"/>
      <c r="Y19" s="56"/>
      <c r="Z19" s="56"/>
      <c r="AA19" s="56"/>
      <c r="AB19" s="56"/>
      <c r="AC19" s="27"/>
      <c r="AD19" s="27"/>
      <c r="AE19" s="27"/>
      <c r="AF19" s="27"/>
      <c r="AG19" s="27"/>
      <c r="AH19" s="27"/>
      <c r="AI19" s="184"/>
      <c r="AJ19" s="184"/>
      <c r="AK19" s="184"/>
      <c r="AL19" s="184"/>
      <c r="AM19" s="184"/>
      <c r="AN19" s="184"/>
    </row>
    <row r="20" spans="3:40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57"/>
      <c r="AB20" s="56"/>
      <c r="AC20" s="27"/>
      <c r="AD20" s="27"/>
      <c r="AE20" s="27"/>
      <c r="AF20" s="27"/>
      <c r="AG20" s="27"/>
      <c r="AH20" s="27"/>
      <c r="AI20" s="184"/>
      <c r="AJ20" s="184"/>
      <c r="AK20" s="184"/>
      <c r="AL20" s="184"/>
      <c r="AM20" s="184"/>
      <c r="AN20" s="184"/>
    </row>
    <row r="21" spans="3:40"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154"/>
      <c r="AB21" s="57"/>
      <c r="AI21" s="184"/>
      <c r="AJ21" s="184"/>
      <c r="AK21" s="184"/>
      <c r="AL21" s="184"/>
      <c r="AM21" s="184"/>
      <c r="AN21" s="184"/>
    </row>
    <row r="22" spans="3:40"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54"/>
      <c r="AB22" s="57"/>
      <c r="AI22" s="184"/>
      <c r="AJ22" s="184"/>
      <c r="AK22" s="184"/>
      <c r="AL22" s="184"/>
      <c r="AM22" s="184"/>
      <c r="AN22" s="184"/>
    </row>
    <row r="23" spans="3:40"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54"/>
      <c r="AB23" s="57"/>
    </row>
    <row r="24" spans="3:40"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156"/>
      <c r="AB24" s="57"/>
    </row>
    <row r="25" spans="3:40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156"/>
      <c r="AB25" s="57"/>
    </row>
    <row r="26" spans="3:40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155"/>
      <c r="AB26" s="57"/>
    </row>
    <row r="27" spans="3:40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155"/>
      <c r="AB27" s="57"/>
    </row>
    <row r="28" spans="3:40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155"/>
      <c r="AB28" s="57"/>
    </row>
    <row r="29" spans="3:40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155"/>
      <c r="AB29" s="57"/>
    </row>
    <row r="30" spans="3:40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153"/>
      <c r="AB30" s="57"/>
    </row>
    <row r="31" spans="3:40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154"/>
      <c r="AB31" s="57"/>
    </row>
    <row r="32" spans="3:40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154"/>
      <c r="AB32" s="57"/>
    </row>
    <row r="33" spans="3:28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154"/>
      <c r="AB33" s="57"/>
    </row>
    <row r="34" spans="3:28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/>
    </row>
    <row r="35" spans="3:28"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hyperlinks>
    <hyperlink ref="B13" r:id="rId1" xr:uid="{EFDC11A7-2768-42B7-A899-1AEE43BD06DB}"/>
  </hyperlinks>
  <pageMargins left="0.7" right="0.7" top="0.78740157499999996" bottom="0.78740157499999996" header="0.3" footer="0.3"/>
  <pageSetup paperSize="9" orientation="portrait" r:id="rId2"/>
  <ignoredErrors>
    <ignoredError sqref="C10:D10 F10:G10 I10:J10 L10:M10 O10:P10 R10:S10 U10:V10 X10:Y10 AA10:AB10 AD10:AE10 AG10:AH10 AJ10:AK10" formulaRange="1"/>
    <ignoredError sqref="E10 H10 K10 N10 Q10 T10 W10 Z10 AI10" formula="1"/>
    <ignoredError sqref="Z7:Z9 AC7:AC9 AF6:AF9 AI7:AI9 AL6:AL10" evalError="1"/>
    <ignoredError sqref="AC10 AF10" evalError="1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62C85-5E78-48FF-A50B-40CD0E948797}">
  <dimension ref="A1:AR21"/>
  <sheetViews>
    <sheetView topLeftCell="B1" zoomScaleNormal="100" workbookViewId="0">
      <pane xSplit="1" topLeftCell="AE1" activePane="topRight" state="frozen"/>
      <selection activeCell="B1" sqref="B1"/>
      <selection pane="topRight" activeCell="AM13" sqref="AM13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3" width="8.7109375" style="25" customWidth="1"/>
    <col min="4" max="4" width="9" style="25" customWidth="1"/>
    <col min="5" max="5" width="11.5703125" style="25" customWidth="1"/>
    <col min="6" max="6" width="9.140625" style="25" customWidth="1"/>
    <col min="7" max="7" width="10.140625" style="25" customWidth="1"/>
    <col min="8" max="8" width="10.85546875" style="25" customWidth="1"/>
    <col min="9" max="9" width="9.7109375" style="25" customWidth="1"/>
    <col min="10" max="10" width="9.42578125" style="25" customWidth="1"/>
    <col min="11" max="12" width="10" style="25" customWidth="1"/>
    <col min="13" max="13" width="9.7109375" style="25" customWidth="1"/>
    <col min="14" max="14" width="11.140625" style="25" customWidth="1"/>
    <col min="15" max="15" width="8.85546875" style="25" customWidth="1"/>
    <col min="16" max="16" width="10.42578125" style="25" customWidth="1"/>
    <col min="17" max="17" width="10.140625" style="25" bestFit="1" customWidth="1"/>
    <col min="18" max="18" width="10.42578125" style="25" customWidth="1"/>
    <col min="19" max="19" width="11.42578125" style="25" customWidth="1"/>
    <col min="20" max="20" width="11.42578125" style="25"/>
    <col min="21" max="21" width="10.42578125" style="25" customWidth="1"/>
    <col min="22" max="22" width="10.5703125" style="25" customWidth="1"/>
    <col min="23" max="16384" width="11.42578125" style="25"/>
  </cols>
  <sheetData>
    <row r="1" spans="2:44">
      <c r="B1" s="10" t="s">
        <v>81</v>
      </c>
    </row>
    <row r="2" spans="2:44">
      <c r="B2" s="53"/>
      <c r="S2" s="27"/>
    </row>
    <row r="4" spans="2:44" ht="45" customHeight="1">
      <c r="B4" s="11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1" t="s">
        <v>29</v>
      </c>
      <c r="AN4" s="232"/>
      <c r="AO4" s="237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8" t="s">
        <v>34</v>
      </c>
      <c r="I5" s="12">
        <v>2019</v>
      </c>
      <c r="J5" s="12">
        <v>2020</v>
      </c>
      <c r="K5" s="28" t="s">
        <v>34</v>
      </c>
      <c r="L5" s="12">
        <v>2019</v>
      </c>
      <c r="M5" s="12">
        <v>2020</v>
      </c>
      <c r="N5" s="28" t="s">
        <v>34</v>
      </c>
      <c r="O5" s="12">
        <v>2019</v>
      </c>
      <c r="P5" s="12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2">
        <v>2019</v>
      </c>
      <c r="AN5" s="12">
        <v>2020</v>
      </c>
      <c r="AO5" s="238"/>
    </row>
    <row r="6" spans="2:44">
      <c r="B6" s="20" t="s">
        <v>6</v>
      </c>
      <c r="C6" s="40">
        <v>161013</v>
      </c>
      <c r="D6" s="40">
        <v>149279</v>
      </c>
      <c r="E6" s="62">
        <f>(D6-C6)/C6</f>
        <v>-7.2876103171793577E-2</v>
      </c>
      <c r="F6" s="40">
        <v>81969</v>
      </c>
      <c r="G6" s="40">
        <v>79594</v>
      </c>
      <c r="H6" s="62">
        <f>(G6-F6)/F6</f>
        <v>-2.8974368358769778E-2</v>
      </c>
      <c r="I6" s="40">
        <v>458054</v>
      </c>
      <c r="J6" s="40">
        <v>254684</v>
      </c>
      <c r="K6" s="62">
        <f>(J6-I6)/I6</f>
        <v>-0.44398695350329875</v>
      </c>
      <c r="L6" s="40">
        <v>161064</v>
      </c>
      <c r="M6" s="40">
        <v>4321</v>
      </c>
      <c r="N6" s="62">
        <f>(M6-L6)/L6</f>
        <v>-0.97317215516813194</v>
      </c>
      <c r="O6" s="40">
        <v>183724</v>
      </c>
      <c r="P6" s="40">
        <v>20247</v>
      </c>
      <c r="Q6" s="62">
        <f>(P6-O6)/O6</f>
        <v>-0.88979665149898757</v>
      </c>
      <c r="R6" s="40">
        <v>223421</v>
      </c>
      <c r="S6" s="40">
        <v>145377</v>
      </c>
      <c r="T6" s="62">
        <f>(S6-R6)/R6</f>
        <v>-0.3493136276357191</v>
      </c>
      <c r="U6" s="40">
        <v>157198</v>
      </c>
      <c r="V6" s="66">
        <v>174887</v>
      </c>
      <c r="W6" s="62">
        <f>(V6-U6)/U6</f>
        <v>0.11252687693227649</v>
      </c>
      <c r="X6" s="40">
        <v>92573</v>
      </c>
      <c r="Y6" s="66">
        <v>87226</v>
      </c>
      <c r="Z6" s="62">
        <f>(Y6-X6)/X6</f>
        <v>-5.7759821978330614E-2</v>
      </c>
      <c r="AA6" s="40">
        <v>343255</v>
      </c>
      <c r="AB6" s="66">
        <v>328041</v>
      </c>
      <c r="AC6" s="62">
        <f>(AB6-AA6)/AA6</f>
        <v>-4.4322733827620864E-2</v>
      </c>
      <c r="AD6" s="40">
        <v>143251</v>
      </c>
      <c r="AE6" s="66">
        <v>140935</v>
      </c>
      <c r="AF6" s="62">
        <f>(AE6-AD6)/AD6</f>
        <v>-1.6167426405400313E-2</v>
      </c>
      <c r="AG6" s="40">
        <v>156621</v>
      </c>
      <c r="AH6" s="66">
        <v>113781</v>
      </c>
      <c r="AI6" s="62">
        <f>(AH6-AG6)/AG6</f>
        <v>-0.27352653858677956</v>
      </c>
      <c r="AJ6" s="46">
        <v>148997</v>
      </c>
      <c r="AK6" s="66">
        <v>132682</v>
      </c>
      <c r="AL6" s="62">
        <f>(AK6-AJ6)/AJ6</f>
        <v>-0.10949884897011349</v>
      </c>
      <c r="AM6" s="67">
        <f t="shared" ref="AM6:AN10" si="0">C6+F6+I6+L6+O6+R6+U6+X6+AA6+AD6+AG6+AJ6</f>
        <v>2311140</v>
      </c>
      <c r="AN6" s="67">
        <f t="shared" si="0"/>
        <v>1631054</v>
      </c>
      <c r="AO6" s="42">
        <f>(AN6-AM6)/AM6</f>
        <v>-0.29426430246544993</v>
      </c>
    </row>
    <row r="7" spans="2:44">
      <c r="B7" s="20" t="s">
        <v>3</v>
      </c>
      <c r="C7" s="40">
        <v>22236</v>
      </c>
      <c r="D7" s="40">
        <v>23557</v>
      </c>
      <c r="E7" s="62">
        <f>(D7-C7)/C7</f>
        <v>5.9408166936499369E-2</v>
      </c>
      <c r="F7" s="40">
        <v>14384</v>
      </c>
      <c r="G7" s="40">
        <v>14103</v>
      </c>
      <c r="H7" s="62">
        <f>(G7-F7)/F7</f>
        <v>-1.953559510567297E-2</v>
      </c>
      <c r="I7" s="40">
        <v>66123</v>
      </c>
      <c r="J7" s="40">
        <v>30247</v>
      </c>
      <c r="K7" s="62">
        <f>(J7-I7)/I7</f>
        <v>-0.54256461443068227</v>
      </c>
      <c r="L7" s="40">
        <v>24604</v>
      </c>
      <c r="M7" s="27">
        <v>3387</v>
      </c>
      <c r="N7" s="62">
        <f>(M7-L7)/L7</f>
        <v>-0.86233945699886194</v>
      </c>
      <c r="O7" s="40">
        <v>29142</v>
      </c>
      <c r="P7" s="40">
        <v>7541</v>
      </c>
      <c r="Q7" s="62">
        <f>(P7-O7)/O7</f>
        <v>-0.74123258527211588</v>
      </c>
      <c r="R7" s="40">
        <v>39929</v>
      </c>
      <c r="S7" s="40">
        <v>30041</v>
      </c>
      <c r="T7" s="62">
        <f>(S7-R7)/R7</f>
        <v>-0.2476395602193894</v>
      </c>
      <c r="U7" s="40">
        <v>25862</v>
      </c>
      <c r="V7" s="66">
        <v>27701</v>
      </c>
      <c r="W7" s="62">
        <f>(V7-U7)/U7</f>
        <v>7.1108189621838985E-2</v>
      </c>
      <c r="X7" s="40">
        <v>23120</v>
      </c>
      <c r="Y7" s="66">
        <v>19407</v>
      </c>
      <c r="Z7" s="62">
        <f>(Y7-X7)/X7</f>
        <v>-0.16059688581314879</v>
      </c>
      <c r="AA7" s="66">
        <v>41216</v>
      </c>
      <c r="AB7" s="66">
        <v>52096</v>
      </c>
      <c r="AC7" s="62">
        <f>(AB7-AA7)/AA7</f>
        <v>0.2639751552795031</v>
      </c>
      <c r="AD7" s="40">
        <v>25373</v>
      </c>
      <c r="AE7" s="66">
        <v>28753</v>
      </c>
      <c r="AF7" s="62">
        <f>(AE7-AD7)/AD7</f>
        <v>0.13321246994837033</v>
      </c>
      <c r="AG7" s="40">
        <v>26238</v>
      </c>
      <c r="AH7" s="66">
        <v>28541</v>
      </c>
      <c r="AI7" s="62">
        <f>(AH7-AG7)/AG7</f>
        <v>8.7773458342861502E-2</v>
      </c>
      <c r="AJ7" s="46">
        <v>27551</v>
      </c>
      <c r="AK7" s="66">
        <v>27283</v>
      </c>
      <c r="AL7" s="62">
        <f>(AK7-AJ7)/AJ7</f>
        <v>-9.7274146128997138E-3</v>
      </c>
      <c r="AM7" s="67">
        <f t="shared" si="0"/>
        <v>365778</v>
      </c>
      <c r="AN7" s="67">
        <f t="shared" si="0"/>
        <v>292657</v>
      </c>
      <c r="AO7" s="42">
        <f>(AN7-AM7)/AM7</f>
        <v>-0.19990540710485596</v>
      </c>
    </row>
    <row r="8" spans="2:44">
      <c r="B8" s="20" t="s">
        <v>4</v>
      </c>
      <c r="C8" s="40">
        <v>4464</v>
      </c>
      <c r="D8" s="40">
        <v>3355</v>
      </c>
      <c r="E8" s="62">
        <f>(D8-C8)/C8</f>
        <v>-0.24843189964157705</v>
      </c>
      <c r="F8" s="40">
        <v>2723</v>
      </c>
      <c r="G8" s="40">
        <v>2397</v>
      </c>
      <c r="H8" s="62">
        <f>(G8-F8)/F8</f>
        <v>-0.11972089607051047</v>
      </c>
      <c r="I8" s="40">
        <v>7348</v>
      </c>
      <c r="J8" s="40">
        <v>3828</v>
      </c>
      <c r="K8" s="62">
        <f>(J8-I8)/I8</f>
        <v>-0.47904191616766467</v>
      </c>
      <c r="L8" s="40">
        <v>5039</v>
      </c>
      <c r="M8" s="40">
        <v>1196</v>
      </c>
      <c r="N8" s="62">
        <f>(M8-L8)/L8</f>
        <v>-0.76265131970629096</v>
      </c>
      <c r="O8" s="40">
        <v>5049</v>
      </c>
      <c r="P8" s="40">
        <v>1225</v>
      </c>
      <c r="Q8" s="62">
        <f>(P8-O8)/O8</f>
        <v>-0.75737769855416914</v>
      </c>
      <c r="R8" s="90">
        <v>8522</v>
      </c>
      <c r="S8" s="90">
        <v>2117</v>
      </c>
      <c r="T8" s="62">
        <f>(S8-R8)/R8</f>
        <v>-0.75158413517953537</v>
      </c>
      <c r="U8" s="66">
        <v>2067</v>
      </c>
      <c r="V8" s="66">
        <v>1854</v>
      </c>
      <c r="W8" s="62">
        <f>(V8-U8)/U8</f>
        <v>-0.10304789550072568</v>
      </c>
      <c r="X8" s="40">
        <v>2772</v>
      </c>
      <c r="Y8" s="66">
        <v>2265</v>
      </c>
      <c r="Z8" s="62">
        <f>(Y8-X8)/X8</f>
        <v>-0.1829004329004329</v>
      </c>
      <c r="AA8" s="66">
        <v>4070</v>
      </c>
      <c r="AB8" s="66">
        <v>3179</v>
      </c>
      <c r="AC8" s="62">
        <f>(AB8-AA8)/AA8</f>
        <v>-0.21891891891891893</v>
      </c>
      <c r="AD8" s="40">
        <v>5433</v>
      </c>
      <c r="AE8" s="66">
        <v>4433</v>
      </c>
      <c r="AF8" s="62">
        <f>(AE8-AD8)/AD8</f>
        <v>-0.18406037180195103</v>
      </c>
      <c r="AG8" s="40">
        <v>5002</v>
      </c>
      <c r="AH8" s="66">
        <v>4472</v>
      </c>
      <c r="AI8" s="62">
        <f>(AH8-AG8)/AG8</f>
        <v>-0.10595761695321872</v>
      </c>
      <c r="AJ8" s="46">
        <v>4630</v>
      </c>
      <c r="AK8" s="66">
        <v>3740</v>
      </c>
      <c r="AL8" s="62">
        <f>(AK8-AJ8)/AJ8</f>
        <v>-0.19222462203023757</v>
      </c>
      <c r="AM8" s="67">
        <f t="shared" si="0"/>
        <v>57119</v>
      </c>
      <c r="AN8" s="67">
        <f t="shared" si="0"/>
        <v>34061</v>
      </c>
      <c r="AO8" s="42">
        <f>(AN8-AM8)/AM8</f>
        <v>-0.40368353787706368</v>
      </c>
    </row>
    <row r="9" spans="2:44">
      <c r="B9" s="20" t="s">
        <v>5</v>
      </c>
      <c r="C9" s="40">
        <v>337</v>
      </c>
      <c r="D9" s="40">
        <v>417</v>
      </c>
      <c r="E9" s="62">
        <f>(D9-C9)/C9</f>
        <v>0.23738872403560832</v>
      </c>
      <c r="F9" s="40">
        <v>352</v>
      </c>
      <c r="G9" s="40">
        <v>350</v>
      </c>
      <c r="H9" s="62">
        <f>(G9-F9)/F9</f>
        <v>-5.681818181818182E-3</v>
      </c>
      <c r="I9" s="40">
        <v>764</v>
      </c>
      <c r="J9" s="40">
        <v>159</v>
      </c>
      <c r="K9" s="62">
        <f>(J9-I9)/I9</f>
        <v>-0.79188481675392675</v>
      </c>
      <c r="L9" s="40">
        <v>491</v>
      </c>
      <c r="M9" s="40">
        <v>99</v>
      </c>
      <c r="N9" s="62">
        <f>(M9-L9)/L9</f>
        <v>-0.79837067209775969</v>
      </c>
      <c r="O9" s="40">
        <v>617</v>
      </c>
      <c r="P9" s="40">
        <v>81</v>
      </c>
      <c r="Q9" s="62">
        <f>(P9-O9)/O9</f>
        <v>-0.86871961102106965</v>
      </c>
      <c r="R9" s="99">
        <v>606</v>
      </c>
      <c r="S9" s="99">
        <v>175</v>
      </c>
      <c r="T9" s="62">
        <f>(S9-R9)/R9</f>
        <v>-0.71122112211221122</v>
      </c>
      <c r="U9" s="66">
        <v>336</v>
      </c>
      <c r="V9" s="66">
        <v>261</v>
      </c>
      <c r="W9" s="62">
        <f>(V9-U9)/U9</f>
        <v>-0.22321428571428573</v>
      </c>
      <c r="X9" s="40">
        <v>276</v>
      </c>
      <c r="Y9" s="66">
        <v>286</v>
      </c>
      <c r="Z9" s="62">
        <f>(Y9-X9)/X9</f>
        <v>3.6231884057971016E-2</v>
      </c>
      <c r="AA9" s="27">
        <v>912</v>
      </c>
      <c r="AB9" s="66">
        <v>583</v>
      </c>
      <c r="AC9" s="62">
        <f>(AB9-AA9)/AA9</f>
        <v>-0.3607456140350877</v>
      </c>
      <c r="AD9" s="27">
        <v>688</v>
      </c>
      <c r="AE9" s="66">
        <v>575</v>
      </c>
      <c r="AF9" s="62">
        <f>(AE9-AD9)/AD9</f>
        <v>-0.16424418604651161</v>
      </c>
      <c r="AG9" s="27">
        <v>598</v>
      </c>
      <c r="AH9" s="66">
        <v>345</v>
      </c>
      <c r="AI9" s="62">
        <f>(AH9-AG9)/AG9</f>
        <v>-0.42307692307692307</v>
      </c>
      <c r="AJ9" s="46">
        <v>712</v>
      </c>
      <c r="AK9" s="66">
        <v>301</v>
      </c>
      <c r="AL9" s="62">
        <f>(AK9-AJ9)/AJ9</f>
        <v>-0.577247191011236</v>
      </c>
      <c r="AM9" s="67">
        <f t="shared" si="0"/>
        <v>6689</v>
      </c>
      <c r="AN9" s="67">
        <f t="shared" si="0"/>
        <v>3632</v>
      </c>
      <c r="AO9" s="42">
        <f>(AN9-AM9)/AM9</f>
        <v>-0.45701898639557481</v>
      </c>
    </row>
    <row r="10" spans="2:44" s="10" customFormat="1">
      <c r="B10" s="47" t="s">
        <v>7</v>
      </c>
      <c r="C10" s="16">
        <f>SUM(C6:C9)</f>
        <v>188050</v>
      </c>
      <c r="D10" s="16">
        <f>SUM(D6:D9)</f>
        <v>176608</v>
      </c>
      <c r="E10" s="63">
        <f>(D10-C10)/C10</f>
        <v>-6.0845519808561552E-2</v>
      </c>
      <c r="F10" s="16">
        <f>SUM(F6:F9)</f>
        <v>99428</v>
      </c>
      <c r="G10" s="16">
        <f>SUM(G6:G9)</f>
        <v>96444</v>
      </c>
      <c r="H10" s="63">
        <f>(G10-F10)/F10</f>
        <v>-3.0011666733716861E-2</v>
      </c>
      <c r="I10" s="16">
        <f>SUM(I6:I9)</f>
        <v>532289</v>
      </c>
      <c r="J10" s="16">
        <f>SUM(J6:J9)</f>
        <v>288918</v>
      </c>
      <c r="K10" s="63">
        <f>(J10-I10)/I10</f>
        <v>-0.45721591090554192</v>
      </c>
      <c r="L10" s="67">
        <f>SUM(L6:L9)</f>
        <v>191198</v>
      </c>
      <c r="M10" s="16">
        <f>SUM(M6:M9)</f>
        <v>9003</v>
      </c>
      <c r="N10" s="63">
        <f>(M10-L10)/L10</f>
        <v>-0.95291268737120682</v>
      </c>
      <c r="O10" s="16">
        <f>SUM(O6:O9)</f>
        <v>218532</v>
      </c>
      <c r="P10" s="16">
        <f>SUM(P6:P9)</f>
        <v>29094</v>
      </c>
      <c r="Q10" s="63">
        <f>(P10-O10)/O10</f>
        <v>-0.86686617978145075</v>
      </c>
      <c r="R10" s="16">
        <f>SUM(R6:R9)</f>
        <v>272478</v>
      </c>
      <c r="S10" s="16">
        <f>SUM(S6:S9)</f>
        <v>177710</v>
      </c>
      <c r="T10" s="63">
        <f>(S10-R10)/R10</f>
        <v>-0.34780055637519358</v>
      </c>
      <c r="U10" s="67">
        <f>SUM(U6:U9)</f>
        <v>185463</v>
      </c>
      <c r="V10" s="67">
        <f>SUM(V6:V9)</f>
        <v>204703</v>
      </c>
      <c r="W10" s="62">
        <f>(V10-U10)/U10</f>
        <v>0.10374036869887794</v>
      </c>
      <c r="X10" s="67">
        <f>SUM(X6:X9)</f>
        <v>118741</v>
      </c>
      <c r="Y10" s="67">
        <f>SUM(Y6:Y9)</f>
        <v>109184</v>
      </c>
      <c r="Z10" s="62">
        <f>(Y10-X10)/X10</f>
        <v>-8.0486099999157831E-2</v>
      </c>
      <c r="AA10" s="67">
        <f>SUM(AA6:AA9)</f>
        <v>389453</v>
      </c>
      <c r="AB10" s="67">
        <f>SUM(AB6:AB9)</f>
        <v>383899</v>
      </c>
      <c r="AC10" s="62">
        <f>(AB10-AA10)/AA10</f>
        <v>-1.4261027646468251E-2</v>
      </c>
      <c r="AD10" s="67">
        <f>SUM(AD6:AD9)</f>
        <v>174745</v>
      </c>
      <c r="AE10" s="67">
        <f>SUM(AE6:AE9)</f>
        <v>174696</v>
      </c>
      <c r="AF10" s="62">
        <f>(AE10-AD10)/AD10</f>
        <v>-2.8040859538184214E-4</v>
      </c>
      <c r="AG10" s="67">
        <f>SUM(AG6:AG9)</f>
        <v>188459</v>
      </c>
      <c r="AH10" s="67">
        <f>SUM(AH6:AH9)</f>
        <v>147139</v>
      </c>
      <c r="AI10" s="62">
        <f>(AH10-AG10)/AG10</f>
        <v>-0.21925193278113542</v>
      </c>
      <c r="AJ10" s="187">
        <f>SUM(AJ6:AJ9)</f>
        <v>181890</v>
      </c>
      <c r="AK10" s="187">
        <f>SUM(AK6:AK9)</f>
        <v>164006</v>
      </c>
      <c r="AL10" s="62">
        <f>(AK10-AJ10)/AJ10</f>
        <v>-9.8323162350871407E-2</v>
      </c>
      <c r="AM10" s="67">
        <f t="shared" si="0"/>
        <v>2740726</v>
      </c>
      <c r="AN10" s="67">
        <f t="shared" si="0"/>
        <v>1961404</v>
      </c>
      <c r="AO10" s="39">
        <f>(AN10-AM10)/AM10</f>
        <v>-0.28434874555136119</v>
      </c>
      <c r="AQ10" s="25"/>
      <c r="AR10" s="24"/>
    </row>
    <row r="12" spans="2:44">
      <c r="B12" s="55" t="s">
        <v>82</v>
      </c>
      <c r="AM12" s="81"/>
    </row>
    <row r="13" spans="2:44">
      <c r="B13" s="86" t="s">
        <v>135</v>
      </c>
      <c r="W13" s="26"/>
      <c r="X13" s="26"/>
      <c r="Y13" s="26"/>
      <c r="Z13" s="26"/>
      <c r="AA13" s="80"/>
      <c r="AB13" s="80"/>
      <c r="AC13" s="26"/>
      <c r="AD13" s="26"/>
      <c r="AE13" s="26"/>
      <c r="AF13" s="26"/>
      <c r="AG13" s="26"/>
      <c r="AH13" s="26"/>
      <c r="AI13" s="26"/>
      <c r="AM13" s="184"/>
    </row>
    <row r="14" spans="2:44">
      <c r="C14" s="26"/>
      <c r="D14" s="26"/>
      <c r="E14" s="26"/>
      <c r="F14" s="26"/>
      <c r="G14" s="26"/>
      <c r="AA14" s="64"/>
    </row>
    <row r="15" spans="2:44"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2:44">
      <c r="C16" s="27"/>
      <c r="D16" s="27"/>
      <c r="E16" s="27"/>
      <c r="F16" s="27"/>
      <c r="G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3:35">
      <c r="C17" s="27"/>
      <c r="D17" s="27"/>
      <c r="E17" s="27"/>
      <c r="F17" s="27"/>
      <c r="G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3:35">
      <c r="C18" s="27"/>
      <c r="D18" s="27"/>
      <c r="E18" s="27"/>
      <c r="F18" s="27"/>
      <c r="G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3:35">
      <c r="C19" s="27"/>
      <c r="D19" s="27"/>
      <c r="E19" s="27"/>
      <c r="F19" s="27"/>
      <c r="G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3:35">
      <c r="C20" s="27"/>
      <c r="D20" s="27"/>
      <c r="E20" s="27"/>
      <c r="F20" s="27"/>
      <c r="G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3:35">
      <c r="C21" s="27"/>
      <c r="D21" s="27"/>
      <c r="E21" s="27"/>
      <c r="F21" s="27"/>
      <c r="G21" s="27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B13" r:id="rId1" xr:uid="{ED230F6D-3D3A-4357-BBFB-A7C90990A70D}"/>
  </hyperlinks>
  <pageMargins left="0.7" right="0.7" top="0.78740157499999996" bottom="0.78740157499999996" header="0.3" footer="0.3"/>
  <pageSetup paperSize="9" orientation="portrait" r:id="rId2"/>
  <ignoredErrors>
    <ignoredError sqref="C10:D10 F10:G10 I10:J10 L10:M10 O10:P10 R10:S10 U10:V10 X10:Y10 AA10:AB10 AD10:AE10 AG10:AH10 AJ10:AK10" formulaRange="1"/>
    <ignoredError sqref="E10 N10" formula="1" formulaRange="1"/>
    <ignoredError sqref="H10 K10 Q10 T10 W10 Z10 AC10 AF10" formula="1"/>
    <ignoredError sqref="W8:W9 AC7:AC9 AF6 AF8:AF9 AI6:AI9 AL6:AL10" evalError="1"/>
    <ignoredError sqref="AI10" evalError="1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B74A5-5356-4893-B01A-F4A3E26AE56E}">
  <dimension ref="A1:AR20"/>
  <sheetViews>
    <sheetView topLeftCell="B1" zoomScaleNormal="100" workbookViewId="0">
      <pane xSplit="1" topLeftCell="AE1" activePane="topRight" state="frozen"/>
      <selection activeCell="B1" sqref="B1"/>
      <selection pane="topRight" activeCell="AM12" sqref="AM12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3" width="8.7109375" style="25" customWidth="1"/>
    <col min="4" max="4" width="9" style="25" customWidth="1"/>
    <col min="5" max="5" width="11.5703125" style="25" customWidth="1"/>
    <col min="6" max="6" width="9.140625" style="25" customWidth="1"/>
    <col min="7" max="7" width="10.140625" style="25" customWidth="1"/>
    <col min="8" max="8" width="10.85546875" style="25" customWidth="1"/>
    <col min="9" max="9" width="9.7109375" style="25" customWidth="1"/>
    <col min="10" max="10" width="9.42578125" style="25" customWidth="1"/>
    <col min="11" max="12" width="10" style="25" customWidth="1"/>
    <col min="13" max="13" width="9.7109375" style="25" customWidth="1"/>
    <col min="14" max="14" width="11.140625" style="25" customWidth="1"/>
    <col min="15" max="15" width="8.85546875" style="25" customWidth="1"/>
    <col min="16" max="16" width="10.42578125" style="25" customWidth="1"/>
    <col min="17" max="17" width="10.140625" style="25" bestFit="1" customWidth="1"/>
    <col min="18" max="18" width="10.42578125" style="25" customWidth="1"/>
    <col min="19" max="19" width="11.42578125" style="25" customWidth="1"/>
    <col min="20" max="20" width="11.42578125" style="25"/>
    <col min="21" max="21" width="10.42578125" style="25" customWidth="1"/>
    <col min="22" max="22" width="10.5703125" style="25" customWidth="1"/>
    <col min="23" max="16384" width="11.42578125" style="25"/>
  </cols>
  <sheetData>
    <row r="1" spans="2:44">
      <c r="B1" s="10" t="s">
        <v>79</v>
      </c>
    </row>
    <row r="2" spans="2:44">
      <c r="B2" s="53"/>
      <c r="S2" s="27"/>
    </row>
    <row r="4" spans="2:44" ht="45" customHeight="1">
      <c r="B4" s="11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1" t="s">
        <v>29</v>
      </c>
      <c r="AN4" s="232"/>
      <c r="AO4" s="237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8" t="s">
        <v>34</v>
      </c>
      <c r="I5" s="12">
        <v>2019</v>
      </c>
      <c r="J5" s="12">
        <v>2020</v>
      </c>
      <c r="K5" s="28" t="s">
        <v>34</v>
      </c>
      <c r="L5" s="12">
        <v>2019</v>
      </c>
      <c r="M5" s="12">
        <v>2020</v>
      </c>
      <c r="N5" s="28" t="s">
        <v>34</v>
      </c>
      <c r="O5" s="12">
        <v>2019</v>
      </c>
      <c r="P5" s="12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2">
        <v>2019</v>
      </c>
      <c r="AN5" s="12">
        <v>2020</v>
      </c>
      <c r="AO5" s="238"/>
    </row>
    <row r="6" spans="2:44">
      <c r="B6" s="20" t="s">
        <v>6</v>
      </c>
      <c r="C6" s="40">
        <v>5258</v>
      </c>
      <c r="D6" s="40">
        <v>7072</v>
      </c>
      <c r="E6" s="62">
        <f>(D6-C6)/C6</f>
        <v>0.34499809813617344</v>
      </c>
      <c r="F6" s="40">
        <v>5758</v>
      </c>
      <c r="G6" s="40">
        <v>6963</v>
      </c>
      <c r="H6" s="62">
        <f>(G6-F6)/F6</f>
        <v>0.20927405349079542</v>
      </c>
      <c r="I6" s="40">
        <v>7327</v>
      </c>
      <c r="J6" s="40">
        <v>6244</v>
      </c>
      <c r="K6" s="62">
        <f>(J6-I6)/I6</f>
        <v>-0.14780947181656887</v>
      </c>
      <c r="L6" s="40">
        <v>6903</v>
      </c>
      <c r="M6" s="40">
        <v>3664</v>
      </c>
      <c r="N6" s="21">
        <f>(M6-L6)/L6</f>
        <v>-0.46921628277560479</v>
      </c>
      <c r="O6" s="40">
        <v>6947</v>
      </c>
      <c r="P6" s="40">
        <v>5895</v>
      </c>
      <c r="Q6" s="62">
        <f>(P6-O6)/O6</f>
        <v>-0.15143227292356412</v>
      </c>
      <c r="R6" s="40">
        <v>6500</v>
      </c>
      <c r="S6" s="40">
        <v>7306</v>
      </c>
      <c r="T6" s="62">
        <f>(S6-R6)/R6</f>
        <v>0.124</v>
      </c>
      <c r="U6" s="40">
        <v>7617</v>
      </c>
      <c r="V6" s="11">
        <v>8392</v>
      </c>
      <c r="W6" s="62">
        <f>(V6-U6)/U6</f>
        <v>0.10174609426283314</v>
      </c>
      <c r="X6" s="40">
        <v>8256</v>
      </c>
      <c r="Y6" s="66">
        <v>6970</v>
      </c>
      <c r="Z6" s="62">
        <f>(Y6-X6)/X6</f>
        <v>-0.15576550387596899</v>
      </c>
      <c r="AA6" s="40">
        <v>7157</v>
      </c>
      <c r="AB6" s="66">
        <v>7589</v>
      </c>
      <c r="AC6" s="62">
        <f>(AB6-AA6)/AA6</f>
        <v>6.0360486237250245E-2</v>
      </c>
      <c r="AD6" s="40">
        <v>8971</v>
      </c>
      <c r="AE6" s="66">
        <v>8437</v>
      </c>
      <c r="AF6" s="62">
        <f>(AE6-AD6)/AD6</f>
        <v>-5.952513655110913E-2</v>
      </c>
      <c r="AG6" s="40">
        <v>8565</v>
      </c>
      <c r="AH6" s="66">
        <v>7117</v>
      </c>
      <c r="AI6" s="62">
        <f>(AH6-AG6)/AG6</f>
        <v>-0.16906012842965557</v>
      </c>
      <c r="AJ6" s="46">
        <v>9178</v>
      </c>
      <c r="AK6" s="66">
        <v>9801</v>
      </c>
      <c r="AL6" s="62">
        <f>(AK6-AJ6)/AJ6</f>
        <v>6.7879712355633032E-2</v>
      </c>
      <c r="AM6" s="67">
        <f t="shared" ref="AM6:AN9" si="0">C6+F6+I6+L6+O6+R6+U6+X6+AA6+AD6+AG6+AJ6</f>
        <v>88437</v>
      </c>
      <c r="AN6" s="67">
        <f t="shared" si="0"/>
        <v>85450</v>
      </c>
      <c r="AO6" s="42">
        <f>(AN6-AM6)/AM6</f>
        <v>-3.3775455974309393E-2</v>
      </c>
    </row>
    <row r="7" spans="2:44">
      <c r="B7" s="20" t="s">
        <v>84</v>
      </c>
      <c r="C7" s="40">
        <v>818</v>
      </c>
      <c r="D7" s="40">
        <v>850</v>
      </c>
      <c r="E7" s="62">
        <f>(D7-C7)/C7</f>
        <v>3.9119804400977995E-2</v>
      </c>
      <c r="F7" s="40">
        <v>754</v>
      </c>
      <c r="G7" s="40">
        <v>717</v>
      </c>
      <c r="H7" s="62">
        <f>(G7-F7)/F7</f>
        <v>-4.9071618037135278E-2</v>
      </c>
      <c r="I7" s="40">
        <v>968</v>
      </c>
      <c r="J7" s="40">
        <v>568</v>
      </c>
      <c r="K7" s="62">
        <f>(J7-I7)/I7</f>
        <v>-0.41322314049586778</v>
      </c>
      <c r="L7" s="40">
        <v>858</v>
      </c>
      <c r="M7" s="27">
        <v>519</v>
      </c>
      <c r="N7" s="21">
        <f>(M7-L7)/L7</f>
        <v>-0.3951048951048951</v>
      </c>
      <c r="O7" s="40">
        <v>1133</v>
      </c>
      <c r="P7" s="40">
        <v>680</v>
      </c>
      <c r="Q7" s="62">
        <f>(P7-O7)/O7</f>
        <v>-0.39982347749338043</v>
      </c>
      <c r="R7" s="40">
        <v>963</v>
      </c>
      <c r="S7" s="40">
        <v>760</v>
      </c>
      <c r="T7" s="62">
        <f>(S7-R7)/R7</f>
        <v>-0.21079958463136034</v>
      </c>
      <c r="U7" s="40">
        <v>1049</v>
      </c>
      <c r="V7" s="11">
        <v>1165</v>
      </c>
      <c r="W7" s="62">
        <f>(V7-U7)/U7</f>
        <v>0.11058150619637751</v>
      </c>
      <c r="X7" s="40">
        <v>1129</v>
      </c>
      <c r="Y7" s="66">
        <v>1106</v>
      </c>
      <c r="Z7" s="62">
        <f>(Y7-X7)/X7</f>
        <v>-2.0372010628875111E-2</v>
      </c>
      <c r="AA7" s="40">
        <v>1054</v>
      </c>
      <c r="AB7" s="66">
        <v>1350</v>
      </c>
      <c r="AC7" s="62">
        <f>(AB7-AA7)/AA7</f>
        <v>0.28083491461100568</v>
      </c>
      <c r="AD7" s="40">
        <v>1131</v>
      </c>
      <c r="AE7" s="66">
        <v>1250</v>
      </c>
      <c r="AF7" s="62">
        <f>(AE7-AD7)/AD7</f>
        <v>0.10521662245800177</v>
      </c>
      <c r="AG7" s="40">
        <v>1007</v>
      </c>
      <c r="AH7" s="66">
        <v>980</v>
      </c>
      <c r="AI7" s="62">
        <f>(AH7-AG7)/AG7</f>
        <v>-2.6812313803376366E-2</v>
      </c>
      <c r="AJ7" s="46">
        <v>1495</v>
      </c>
      <c r="AK7" s="66">
        <v>1633</v>
      </c>
      <c r="AL7" s="62">
        <f>(AK7-AJ7)/AJ7</f>
        <v>9.2307692307692313E-2</v>
      </c>
      <c r="AM7" s="67">
        <f t="shared" si="0"/>
        <v>12359</v>
      </c>
      <c r="AN7" s="67">
        <f t="shared" si="0"/>
        <v>11578</v>
      </c>
      <c r="AO7" s="42">
        <f>(AN7-AM7)/AM7</f>
        <v>-6.3192814952666071E-2</v>
      </c>
    </row>
    <row r="8" spans="2:44">
      <c r="B8" s="20" t="s">
        <v>5</v>
      </c>
      <c r="C8" s="40">
        <v>148</v>
      </c>
      <c r="D8" s="40">
        <v>169</v>
      </c>
      <c r="E8" s="62">
        <f>(D8-C8)/C8</f>
        <v>0.14189189189189189</v>
      </c>
      <c r="F8" s="40">
        <v>67</v>
      </c>
      <c r="G8" s="40">
        <v>111</v>
      </c>
      <c r="H8" s="62">
        <f>(G8-F8)/F8</f>
        <v>0.65671641791044777</v>
      </c>
      <c r="I8" s="40">
        <v>133</v>
      </c>
      <c r="J8" s="40">
        <v>289</v>
      </c>
      <c r="K8" s="62">
        <f>(J8-I8)/I8</f>
        <v>1.1729323308270676</v>
      </c>
      <c r="L8" s="40">
        <v>86</v>
      </c>
      <c r="M8" s="40">
        <v>63</v>
      </c>
      <c r="N8" s="21">
        <f>(M8-L8)/L8</f>
        <v>-0.26744186046511625</v>
      </c>
      <c r="O8" s="40">
        <v>112</v>
      </c>
      <c r="P8" s="40">
        <v>186</v>
      </c>
      <c r="Q8" s="62">
        <f>(P8-O8)/O8</f>
        <v>0.6607142857142857</v>
      </c>
      <c r="R8" s="11">
        <v>99</v>
      </c>
      <c r="S8" s="11">
        <v>94</v>
      </c>
      <c r="T8" s="62">
        <f>(S8-R8)/R8</f>
        <v>-5.0505050505050504E-2</v>
      </c>
      <c r="U8" s="11">
        <v>126</v>
      </c>
      <c r="V8" s="11">
        <v>101</v>
      </c>
      <c r="W8" s="62">
        <f>(V8-U8)/U8</f>
        <v>-0.1984126984126984</v>
      </c>
      <c r="X8" s="40">
        <v>118</v>
      </c>
      <c r="Y8" s="66">
        <v>125</v>
      </c>
      <c r="Z8" s="62">
        <f>(Y8-X8)/X8</f>
        <v>5.9322033898305086E-2</v>
      </c>
      <c r="AA8" s="27">
        <v>172</v>
      </c>
      <c r="AB8" s="66">
        <v>163</v>
      </c>
      <c r="AC8" s="62">
        <f>(AB8-AA8)/AA8</f>
        <v>-5.232558139534884E-2</v>
      </c>
      <c r="AD8" s="27">
        <v>192</v>
      </c>
      <c r="AE8" s="66">
        <v>213</v>
      </c>
      <c r="AF8" s="62">
        <f>(AE8-AD8)/AD8</f>
        <v>0.109375</v>
      </c>
      <c r="AG8" s="27">
        <v>186</v>
      </c>
      <c r="AH8" s="66">
        <v>132</v>
      </c>
      <c r="AI8" s="62">
        <f>(AH8-AG8)/AG8</f>
        <v>-0.29032258064516131</v>
      </c>
      <c r="AJ8" s="46">
        <v>307</v>
      </c>
      <c r="AK8" s="66">
        <v>312</v>
      </c>
      <c r="AL8" s="62">
        <f>(AK8-AJ8)/AJ8</f>
        <v>1.6286644951140065E-2</v>
      </c>
      <c r="AM8" s="67">
        <f t="shared" si="0"/>
        <v>1746</v>
      </c>
      <c r="AN8" s="67">
        <f t="shared" si="0"/>
        <v>1958</v>
      </c>
      <c r="AO8" s="42">
        <f>(AN8-AM8)/AM8</f>
        <v>0.12142038946162657</v>
      </c>
    </row>
    <row r="9" spans="2:44" s="10" customFormat="1">
      <c r="B9" s="47" t="s">
        <v>7</v>
      </c>
      <c r="C9" s="16">
        <f>SUM(C6:C8)</f>
        <v>6224</v>
      </c>
      <c r="D9" s="16">
        <f>SUM(D6:D8)</f>
        <v>8091</v>
      </c>
      <c r="E9" s="63">
        <f>(D9-C9)/C9</f>
        <v>0.29996786632390743</v>
      </c>
      <c r="F9" s="16">
        <f>SUM(F6:F8)</f>
        <v>6579</v>
      </c>
      <c r="G9" s="16">
        <f>SUM(G6:G8)</f>
        <v>7791</v>
      </c>
      <c r="H9" s="63">
        <f>(G9-F9)/F9</f>
        <v>0.18422252621979024</v>
      </c>
      <c r="I9" s="16">
        <f>SUM(I6:I8)</f>
        <v>8428</v>
      </c>
      <c r="J9" s="16">
        <f>SUM(J6:J8)</f>
        <v>7101</v>
      </c>
      <c r="K9" s="63">
        <f>(J9-I9)/I9</f>
        <v>-0.15745135263407689</v>
      </c>
      <c r="L9" s="41">
        <f>SUM(L6:L8)</f>
        <v>7847</v>
      </c>
      <c r="M9" s="16">
        <f>SUM(M6:M8)</f>
        <v>4246</v>
      </c>
      <c r="N9" s="63">
        <f>(M9-L9)/L9</f>
        <v>-0.45890149101567479</v>
      </c>
      <c r="O9" s="16">
        <f>SUM(O6:O8)</f>
        <v>8192</v>
      </c>
      <c r="P9" s="16">
        <f>SUM(P6:P8)</f>
        <v>6761</v>
      </c>
      <c r="Q9" s="63">
        <f>(P9-O9)/O9</f>
        <v>-0.1746826171875</v>
      </c>
      <c r="R9" s="16">
        <f>SUM(R6:R8)</f>
        <v>7562</v>
      </c>
      <c r="S9" s="16">
        <f>SUM(S6:S8)</f>
        <v>8160</v>
      </c>
      <c r="T9" s="63">
        <f>(S9-R9)/R9</f>
        <v>7.9079608569161602E-2</v>
      </c>
      <c r="U9" s="67">
        <f>SUM(U6:U8)</f>
        <v>8792</v>
      </c>
      <c r="V9" s="67">
        <f>SUM(V6:V8)</f>
        <v>9658</v>
      </c>
      <c r="W9" s="63">
        <f>(V9-U9)/U9</f>
        <v>9.8498635122838948E-2</v>
      </c>
      <c r="X9" s="67">
        <f>SUM(X6:X8)</f>
        <v>9503</v>
      </c>
      <c r="Y9" s="67">
        <f>SUM(Y6:Y8)</f>
        <v>8201</v>
      </c>
      <c r="Z9" s="63">
        <f>(Y9-X9)/X9</f>
        <v>-0.13700936546353784</v>
      </c>
      <c r="AA9" s="67">
        <f>SUM(AA6:AA8)</f>
        <v>8383</v>
      </c>
      <c r="AB9" s="67">
        <f>SUM(AB6:AB8)</f>
        <v>9102</v>
      </c>
      <c r="AC9" s="63">
        <f>(AB9-AA9)/AA9</f>
        <v>8.5768817845639986E-2</v>
      </c>
      <c r="AD9" s="67">
        <f>SUM(AD6:AD8)</f>
        <v>10294</v>
      </c>
      <c r="AE9" s="67">
        <f>SUM(AE6:AE8)</f>
        <v>9900</v>
      </c>
      <c r="AF9" s="63">
        <f>(AE9-AD9)/AD9</f>
        <v>-3.8274723139693025E-2</v>
      </c>
      <c r="AG9" s="187">
        <f>SUM(AG6:AG8)</f>
        <v>9758</v>
      </c>
      <c r="AH9" s="187">
        <f>SUM(AH6:AH8)</f>
        <v>8229</v>
      </c>
      <c r="AI9" s="63">
        <f>(AH9-AG9)/AG9</f>
        <v>-0.15669194507071121</v>
      </c>
      <c r="AJ9" s="187">
        <f>SUM(AJ6:AJ8)</f>
        <v>10980</v>
      </c>
      <c r="AK9" s="187">
        <f>SUM(AK6:AK8)</f>
        <v>11746</v>
      </c>
      <c r="AL9" s="63">
        <f>(AK9-AJ9)/AJ9</f>
        <v>6.9763205828779595E-2</v>
      </c>
      <c r="AM9" s="67">
        <f t="shared" si="0"/>
        <v>102542</v>
      </c>
      <c r="AN9" s="67">
        <f t="shared" si="0"/>
        <v>98986</v>
      </c>
      <c r="AO9" s="39">
        <f>(AN9-AM9)/AM9</f>
        <v>-3.4678473210976966E-2</v>
      </c>
      <c r="AQ9" s="25"/>
      <c r="AR9" s="24"/>
    </row>
    <row r="11" spans="2:44">
      <c r="B11" s="55" t="s">
        <v>80</v>
      </c>
      <c r="D11" s="64"/>
      <c r="E11" s="64"/>
      <c r="F11" s="64"/>
      <c r="G11" s="64"/>
    </row>
    <row r="12" spans="2:44">
      <c r="B12" s="171" t="s">
        <v>142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M12" s="184"/>
    </row>
    <row r="13" spans="2:44">
      <c r="B13" s="86"/>
      <c r="C13" s="26"/>
      <c r="D13" s="26"/>
      <c r="E13" s="26"/>
      <c r="F13" s="26"/>
      <c r="G13" s="26"/>
    </row>
    <row r="14" spans="2:44"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2:44">
      <c r="C15" s="27"/>
      <c r="D15" s="27"/>
      <c r="E15" s="27"/>
      <c r="F15" s="27"/>
      <c r="G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2:44">
      <c r="C16" s="27"/>
      <c r="D16" s="27"/>
      <c r="E16" s="27"/>
      <c r="F16" s="27"/>
      <c r="G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3:35">
      <c r="C17" s="27"/>
      <c r="D17" s="27"/>
      <c r="E17" s="27"/>
      <c r="F17" s="27"/>
      <c r="G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3:35">
      <c r="C18" s="27"/>
      <c r="D18" s="27"/>
      <c r="E18" s="27"/>
      <c r="F18" s="27"/>
      <c r="G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3:35">
      <c r="C19" s="27"/>
      <c r="D19" s="27"/>
      <c r="E19" s="27"/>
      <c r="F19" s="27"/>
      <c r="G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3:35">
      <c r="C20" s="27"/>
      <c r="D20" s="27"/>
      <c r="E20" s="27"/>
      <c r="F20" s="27"/>
      <c r="G20" s="27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B12" r:id="rId1" xr:uid="{62090D0A-F1B2-43EF-92BB-035452B5EB98}"/>
  </hyperlinks>
  <pageMargins left="0.7" right="0.7" top="0.78740157499999996" bottom="0.78740157499999996" header="0.3" footer="0.3"/>
  <pageSetup paperSize="9" orientation="portrait" r:id="rId2"/>
  <ignoredErrors>
    <ignoredError sqref="C9:D9 F9:G9 I9:J9 L9:M9 O9:P9 R9:S9 U9:V9 X9:Y9 AA9:AB9 AD9:AE9 AG9:AH9 AJ9:AK9" formulaRange="1"/>
    <ignoredError sqref="E9" formula="1" formulaRange="1"/>
    <ignoredError sqref="H9 K9 N9 Q9 T9 W9 AI9" formula="1"/>
    <ignoredError sqref="Z8:Z9 Z6:Z7 AC7:AC8 AF6:AF8 AI7:AI8 AL6:AL9" evalError="1"/>
    <ignoredError sqref="AC9 AF9" evalError="1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247D-17AA-4E0F-B759-5C61CBA7AB86}">
  <dimension ref="A1:AP12"/>
  <sheetViews>
    <sheetView workbookViewId="0">
      <pane xSplit="1" topLeftCell="AC1" activePane="topRight" state="frozen"/>
      <selection pane="topRight" activeCell="AL12" sqref="AL12"/>
    </sheetView>
  </sheetViews>
  <sheetFormatPr baseColWidth="10" defaultColWidth="11.42578125" defaultRowHeight="15"/>
  <cols>
    <col min="1" max="1" width="17.5703125" style="25" customWidth="1"/>
    <col min="2" max="16384" width="11.42578125" style="25"/>
  </cols>
  <sheetData>
    <row r="1" spans="1:42">
      <c r="A1" s="10" t="s">
        <v>46</v>
      </c>
    </row>
    <row r="2" spans="1:42">
      <c r="R2" s="27"/>
    </row>
    <row r="4" spans="1:42" ht="45" customHeight="1">
      <c r="A4" s="11"/>
      <c r="B4" s="233" t="s">
        <v>8</v>
      </c>
      <c r="C4" s="233"/>
      <c r="D4" s="17" t="s">
        <v>30</v>
      </c>
      <c r="E4" s="233" t="s">
        <v>9</v>
      </c>
      <c r="F4" s="233"/>
      <c r="G4" s="17" t="s">
        <v>30</v>
      </c>
      <c r="H4" s="233" t="s">
        <v>10</v>
      </c>
      <c r="I4" s="233"/>
      <c r="J4" s="17" t="s">
        <v>30</v>
      </c>
      <c r="K4" s="233" t="s">
        <v>11</v>
      </c>
      <c r="L4" s="233"/>
      <c r="M4" s="17" t="s">
        <v>30</v>
      </c>
      <c r="N4" s="233" t="s">
        <v>0</v>
      </c>
      <c r="O4" s="233"/>
      <c r="P4" s="17" t="s">
        <v>30</v>
      </c>
      <c r="Q4" s="233" t="s">
        <v>1</v>
      </c>
      <c r="R4" s="233"/>
      <c r="S4" s="17" t="s">
        <v>30</v>
      </c>
      <c r="T4" s="233" t="s">
        <v>2</v>
      </c>
      <c r="U4" s="233"/>
      <c r="V4" s="17" t="s">
        <v>30</v>
      </c>
      <c r="W4" s="233" t="s">
        <v>12</v>
      </c>
      <c r="X4" s="233"/>
      <c r="Y4" s="17" t="s">
        <v>30</v>
      </c>
      <c r="Z4" s="233" t="s">
        <v>13</v>
      </c>
      <c r="AA4" s="233"/>
      <c r="AB4" s="17" t="s">
        <v>30</v>
      </c>
      <c r="AC4" s="233" t="s">
        <v>14</v>
      </c>
      <c r="AD4" s="233"/>
      <c r="AE4" s="17" t="s">
        <v>30</v>
      </c>
      <c r="AF4" s="233" t="s">
        <v>15</v>
      </c>
      <c r="AG4" s="233"/>
      <c r="AH4" s="17" t="s">
        <v>30</v>
      </c>
      <c r="AI4" s="233" t="s">
        <v>16</v>
      </c>
      <c r="AJ4" s="233"/>
      <c r="AK4" s="17" t="s">
        <v>30</v>
      </c>
      <c r="AL4" s="231" t="s">
        <v>29</v>
      </c>
      <c r="AM4" s="232"/>
      <c r="AN4" s="246" t="s">
        <v>28</v>
      </c>
    </row>
    <row r="5" spans="1:42">
      <c r="A5" s="11"/>
      <c r="B5" s="12">
        <v>2019</v>
      </c>
      <c r="C5" s="12">
        <v>2020</v>
      </c>
      <c r="D5" s="12" t="s">
        <v>34</v>
      </c>
      <c r="E5" s="12">
        <v>2019</v>
      </c>
      <c r="F5" s="12">
        <v>2020</v>
      </c>
      <c r="G5" s="12" t="s">
        <v>34</v>
      </c>
      <c r="H5" s="12">
        <v>2019</v>
      </c>
      <c r="I5" s="12">
        <v>2020</v>
      </c>
      <c r="J5" s="12" t="s">
        <v>34</v>
      </c>
      <c r="K5" s="12">
        <v>2019</v>
      </c>
      <c r="L5" s="12">
        <v>2020</v>
      </c>
      <c r="M5" s="12" t="s">
        <v>34</v>
      </c>
      <c r="N5" s="12">
        <v>2019</v>
      </c>
      <c r="O5" s="12">
        <v>2020</v>
      </c>
      <c r="P5" s="12" t="s">
        <v>34</v>
      </c>
      <c r="Q5" s="12">
        <v>2019</v>
      </c>
      <c r="R5" s="12">
        <v>2020</v>
      </c>
      <c r="S5" s="12" t="s">
        <v>34</v>
      </c>
      <c r="T5" s="12">
        <v>2019</v>
      </c>
      <c r="U5" s="12">
        <v>2020</v>
      </c>
      <c r="V5" s="12"/>
      <c r="W5" s="12">
        <v>2019</v>
      </c>
      <c r="X5" s="12">
        <v>2020</v>
      </c>
      <c r="Y5" s="12" t="s">
        <v>34</v>
      </c>
      <c r="Z5" s="12">
        <v>2019</v>
      </c>
      <c r="AA5" s="12">
        <v>2020</v>
      </c>
      <c r="AB5" s="12" t="s">
        <v>34</v>
      </c>
      <c r="AC5" s="12">
        <v>2019</v>
      </c>
      <c r="AD5" s="12">
        <v>2020</v>
      </c>
      <c r="AE5" s="12" t="s">
        <v>34</v>
      </c>
      <c r="AF5" s="12">
        <v>2019</v>
      </c>
      <c r="AG5" s="12">
        <v>2020</v>
      </c>
      <c r="AH5" s="12" t="s">
        <v>34</v>
      </c>
      <c r="AI5" s="12">
        <v>2019</v>
      </c>
      <c r="AJ5" s="12">
        <v>2020</v>
      </c>
      <c r="AK5" s="12" t="s">
        <v>34</v>
      </c>
      <c r="AL5" s="12">
        <v>2019</v>
      </c>
      <c r="AM5" s="12">
        <v>2020</v>
      </c>
      <c r="AN5" s="247"/>
    </row>
    <row r="6" spans="1:42">
      <c r="A6" s="20" t="s">
        <v>47</v>
      </c>
      <c r="B6" s="40">
        <v>1133157</v>
      </c>
      <c r="C6" s="40">
        <v>1130389</v>
      </c>
      <c r="D6" s="62">
        <f>(C6-B6)/B6</f>
        <v>-2.442733001693499E-3</v>
      </c>
      <c r="E6" s="40">
        <v>1251513</v>
      </c>
      <c r="F6" s="40">
        <v>1356342</v>
      </c>
      <c r="G6" s="62">
        <f>(F6-E6)/E6</f>
        <v>8.3761814699487736E-2</v>
      </c>
      <c r="H6" s="40">
        <v>1598811</v>
      </c>
      <c r="I6" s="40">
        <v>992392</v>
      </c>
      <c r="J6" s="62">
        <f>(I6-H6)/H6</f>
        <v>-0.3792937376587977</v>
      </c>
      <c r="K6" s="40">
        <v>1326555</v>
      </c>
      <c r="L6" s="40">
        <v>707842</v>
      </c>
      <c r="M6" s="62">
        <f>(L6-K6)/K6</f>
        <v>-0.46640584069262109</v>
      </c>
      <c r="N6" s="40">
        <v>1581479</v>
      </c>
      <c r="O6" s="40">
        <v>1114931</v>
      </c>
      <c r="P6" s="62">
        <f>(O6-N6)/N6</f>
        <v>-0.29500739497647455</v>
      </c>
      <c r="Q6" s="40">
        <v>1509674</v>
      </c>
      <c r="R6" s="40">
        <v>1103791</v>
      </c>
      <c r="S6" s="62">
        <f>(R6-Q6)/Q6</f>
        <v>-0.2688547328761044</v>
      </c>
      <c r="T6" s="40">
        <v>1396000</v>
      </c>
      <c r="U6" s="66">
        <v>1227091</v>
      </c>
      <c r="V6" s="62">
        <f>(U6-T6)/T6</f>
        <v>-0.12099498567335243</v>
      </c>
      <c r="W6" s="66">
        <v>1638000</v>
      </c>
      <c r="X6" s="66">
        <v>1325144</v>
      </c>
      <c r="Y6" s="62">
        <f>(X6-W6)/W6</f>
        <v>-0.19099877899877901</v>
      </c>
      <c r="Z6" s="40">
        <v>1270000</v>
      </c>
      <c r="AA6" s="66">
        <v>1334000</v>
      </c>
      <c r="AB6" s="62">
        <f>(AA6-Z6)/Z6</f>
        <v>5.0393700787401574E-2</v>
      </c>
      <c r="AC6" s="40">
        <v>1334000</v>
      </c>
      <c r="AD6" s="66">
        <v>1345401</v>
      </c>
      <c r="AE6" s="62">
        <f>(AD6-AC6)/AC6</f>
        <v>8.5464767616191904E-3</v>
      </c>
      <c r="AF6" s="40">
        <v>1401995</v>
      </c>
      <c r="AG6" s="66">
        <v>1186733</v>
      </c>
      <c r="AH6" s="62">
        <f>(AG6-AF6)/AF6</f>
        <v>-0.15353977724599588</v>
      </c>
      <c r="AI6" s="198">
        <v>1338816</v>
      </c>
      <c r="AJ6" s="66">
        <v>1608875</v>
      </c>
      <c r="AK6" s="62">
        <f>(AJ6-AI6)/AI6</f>
        <v>0.20171479874755008</v>
      </c>
      <c r="AL6" s="67">
        <f t="shared" ref="AL6:AM9" si="0">B6+E6+H6+K6+N6+Q6+T6+W6+Z6+AC6+AF6+AI6</f>
        <v>16780000</v>
      </c>
      <c r="AM6" s="67">
        <f t="shared" si="0"/>
        <v>14432931</v>
      </c>
      <c r="AN6" s="42">
        <f>(AM6-AL6)/AL6</f>
        <v>-0.13987300357568533</v>
      </c>
    </row>
    <row r="7" spans="1:42">
      <c r="A7" s="20" t="s">
        <v>4</v>
      </c>
      <c r="B7" s="40"/>
      <c r="C7" s="40"/>
      <c r="D7" s="62" t="e">
        <f>(C7-B7)/B7</f>
        <v>#DIV/0!</v>
      </c>
      <c r="E7" s="40"/>
      <c r="F7" s="40"/>
      <c r="G7" s="62" t="e">
        <f>(F7-E7)/E7</f>
        <v>#DIV/0!</v>
      </c>
      <c r="H7" s="40"/>
      <c r="I7" s="40"/>
      <c r="J7" s="62" t="e">
        <f>(I7-H7)/H7</f>
        <v>#DIV/0!</v>
      </c>
      <c r="K7" s="40"/>
      <c r="L7" s="40"/>
      <c r="M7" s="62" t="e">
        <f>(L7-K7)/K7</f>
        <v>#DIV/0!</v>
      </c>
      <c r="N7" s="40"/>
      <c r="O7" s="40"/>
      <c r="P7" s="62" t="e">
        <f>(O7-N7)/N7</f>
        <v>#DIV/0!</v>
      </c>
      <c r="Q7" s="40"/>
      <c r="R7" s="11"/>
      <c r="S7" s="62" t="e">
        <f>(R7-Q7)/Q7</f>
        <v>#DIV/0!</v>
      </c>
      <c r="T7" s="40"/>
      <c r="U7" s="11"/>
      <c r="V7" s="21"/>
      <c r="W7" s="40"/>
      <c r="X7" s="11"/>
      <c r="Y7" s="21"/>
      <c r="Z7" s="40"/>
      <c r="AA7" s="11"/>
      <c r="AB7" s="21"/>
      <c r="AC7" s="40"/>
      <c r="AD7" s="11"/>
      <c r="AE7" s="11"/>
      <c r="AF7" s="40"/>
      <c r="AG7" s="66"/>
      <c r="AH7" s="21"/>
      <c r="AI7" s="46"/>
      <c r="AJ7" s="11"/>
      <c r="AK7" s="21"/>
      <c r="AL7" s="67">
        <f t="shared" si="0"/>
        <v>0</v>
      </c>
      <c r="AM7" s="67">
        <f t="shared" si="0"/>
        <v>0</v>
      </c>
      <c r="AN7" s="42" t="e">
        <f>(AM7-AL7)/AL7</f>
        <v>#DIV/0!</v>
      </c>
    </row>
    <row r="8" spans="1:42">
      <c r="A8" s="20" t="s">
        <v>5</v>
      </c>
      <c r="B8" s="27"/>
      <c r="C8" s="40"/>
      <c r="D8" s="62" t="e">
        <f>(C8-B8)/B8</f>
        <v>#DIV/0!</v>
      </c>
      <c r="E8" s="40"/>
      <c r="F8" s="40"/>
      <c r="G8" s="62" t="e">
        <f>(F8-E8)/E8</f>
        <v>#DIV/0!</v>
      </c>
      <c r="H8" s="40"/>
      <c r="I8" s="40"/>
      <c r="J8" s="62" t="e">
        <f>(I8-H8)/H8</f>
        <v>#DIV/0!</v>
      </c>
      <c r="K8" s="40"/>
      <c r="L8" s="40"/>
      <c r="M8" s="62" t="e">
        <f>(L8-K8)/K8</f>
        <v>#DIV/0!</v>
      </c>
      <c r="N8" s="40"/>
      <c r="O8" s="40"/>
      <c r="P8" s="62" t="e">
        <f>(O8-N8)/N8</f>
        <v>#DIV/0!</v>
      </c>
      <c r="Q8" s="11"/>
      <c r="R8" s="11"/>
      <c r="S8" s="62" t="e">
        <f>(R8-Q8)/Q8</f>
        <v>#DIV/0!</v>
      </c>
      <c r="T8" s="11"/>
      <c r="U8" s="11"/>
      <c r="V8" s="21"/>
      <c r="W8" s="40"/>
      <c r="X8" s="11"/>
      <c r="Y8" s="21"/>
      <c r="Z8" s="27"/>
      <c r="AA8" s="11"/>
      <c r="AB8" s="21"/>
      <c r="AC8" s="27"/>
      <c r="AD8" s="11"/>
      <c r="AE8" s="52"/>
      <c r="AF8" s="27"/>
      <c r="AG8" s="66"/>
      <c r="AH8" s="21"/>
      <c r="AI8" s="46"/>
      <c r="AJ8" s="11"/>
      <c r="AK8" s="21"/>
      <c r="AL8" s="67">
        <f t="shared" si="0"/>
        <v>0</v>
      </c>
      <c r="AM8" s="67">
        <f t="shared" si="0"/>
        <v>0</v>
      </c>
      <c r="AN8" s="42" t="e">
        <f>(AM8-AL8)/AL8</f>
        <v>#DIV/0!</v>
      </c>
    </row>
    <row r="9" spans="1:42" s="10" customFormat="1">
      <c r="A9" s="47" t="s">
        <v>7</v>
      </c>
      <c r="B9" s="16">
        <f>SUM(B6:B8)</f>
        <v>1133157</v>
      </c>
      <c r="C9" s="16">
        <f>SUM(C6:C8)</f>
        <v>1130389</v>
      </c>
      <c r="D9" s="63">
        <f>(C9-B9)/B9</f>
        <v>-2.442733001693499E-3</v>
      </c>
      <c r="E9" s="16">
        <f>SUM(E6:E8)</f>
        <v>1251513</v>
      </c>
      <c r="F9" s="16">
        <f>SUM(F6:F8)</f>
        <v>1356342</v>
      </c>
      <c r="G9" s="63">
        <f>(F9-E9)/E9</f>
        <v>8.3761814699487736E-2</v>
      </c>
      <c r="H9" s="16">
        <f>SUM(H6:H8)</f>
        <v>1598811</v>
      </c>
      <c r="I9" s="16">
        <f>SUM(I6:I8)</f>
        <v>992392</v>
      </c>
      <c r="J9" s="63">
        <f>(I9-H9)/H9</f>
        <v>-0.3792937376587977</v>
      </c>
      <c r="K9" s="16">
        <f>SUM(K6:K8)</f>
        <v>1326555</v>
      </c>
      <c r="L9" s="16">
        <f>SUM(L6:L8)</f>
        <v>707842</v>
      </c>
      <c r="M9" s="63">
        <f>(L9-K9)/K9</f>
        <v>-0.46640584069262109</v>
      </c>
      <c r="N9" s="16">
        <f>SUM(N6:N8)</f>
        <v>1581479</v>
      </c>
      <c r="O9" s="16">
        <f>SUM(O6:O8)</f>
        <v>1114931</v>
      </c>
      <c r="P9" s="63">
        <f>(O9-N9)/N9</f>
        <v>-0.29500739497647455</v>
      </c>
      <c r="Q9" s="67">
        <f>SUM(Q6:Q8)</f>
        <v>1509674</v>
      </c>
      <c r="R9" s="67">
        <f>SUM(R6:R8)</f>
        <v>1103791</v>
      </c>
      <c r="S9" s="63">
        <f>(R9-Q9)/Q9</f>
        <v>-0.2688547328761044</v>
      </c>
      <c r="T9" s="67">
        <f>SUM(T6:T8)</f>
        <v>1396000</v>
      </c>
      <c r="U9" s="67">
        <f>SUM(U6:U8)</f>
        <v>1227091</v>
      </c>
      <c r="V9" s="63">
        <f>(U9-T9)/T9</f>
        <v>-0.12099498567335243</v>
      </c>
      <c r="W9" s="67">
        <f>SUM(W6:W8)</f>
        <v>1638000</v>
      </c>
      <c r="X9" s="67">
        <f>SUM(X6:X8)</f>
        <v>1325144</v>
      </c>
      <c r="Y9" s="63">
        <f>(X9-W9)/W9</f>
        <v>-0.19099877899877901</v>
      </c>
      <c r="Z9" s="67">
        <f>SUM(Z6:Z8)</f>
        <v>1270000</v>
      </c>
      <c r="AA9" s="67">
        <f>SUM(AA6:AA8)</f>
        <v>1334000</v>
      </c>
      <c r="AB9" s="63">
        <f>(AA9-Z9)/Z9</f>
        <v>5.0393700787401574E-2</v>
      </c>
      <c r="AC9" s="67">
        <f>SUM(AC6:AC8)</f>
        <v>1334000</v>
      </c>
      <c r="AD9" s="67">
        <f>SUM(AD6:AD8)</f>
        <v>1345401</v>
      </c>
      <c r="AE9" s="63">
        <f>(AD9-AC9)/AC9</f>
        <v>8.5464767616191904E-3</v>
      </c>
      <c r="AF9" s="67">
        <f>SUM(AF6:AF8)</f>
        <v>1401995</v>
      </c>
      <c r="AG9" s="67">
        <f>SUM(AG6:AG8)</f>
        <v>1186733</v>
      </c>
      <c r="AH9" s="63">
        <f>(AG9-AF9)/AF9</f>
        <v>-0.15353977724599588</v>
      </c>
      <c r="AI9" s="187">
        <f>SUM(AI6:AI8)</f>
        <v>1338816</v>
      </c>
      <c r="AJ9" s="187">
        <f>SUM(AJ6:AJ8)</f>
        <v>1608875</v>
      </c>
      <c r="AK9" s="63">
        <f>(AJ9-AI9)/AI9</f>
        <v>0.20171479874755008</v>
      </c>
      <c r="AL9" s="67">
        <f t="shared" si="0"/>
        <v>16780000</v>
      </c>
      <c r="AM9" s="67">
        <f t="shared" si="0"/>
        <v>14432931</v>
      </c>
      <c r="AN9" s="39">
        <f>(AM9-AL9)/AL9</f>
        <v>-0.13987300357568533</v>
      </c>
      <c r="AP9" s="24"/>
    </row>
    <row r="11" spans="1:42">
      <c r="A11" s="25" t="s">
        <v>48</v>
      </c>
    </row>
    <row r="12" spans="1:42">
      <c r="AL12" s="184"/>
    </row>
  </sheetData>
  <mergeCells count="14">
    <mergeCell ref="AL4:AM4"/>
    <mergeCell ref="AN4:AN5"/>
    <mergeCell ref="T4:U4"/>
    <mergeCell ref="W4:X4"/>
    <mergeCell ref="Z4:AA4"/>
    <mergeCell ref="AC4:AD4"/>
    <mergeCell ref="AF4:AG4"/>
    <mergeCell ref="AI4:AJ4"/>
    <mergeCell ref="Q4:R4"/>
    <mergeCell ref="B4:C4"/>
    <mergeCell ref="E4:F4"/>
    <mergeCell ref="H4:I4"/>
    <mergeCell ref="K4:L4"/>
    <mergeCell ref="N4:O4"/>
  </mergeCells>
  <pageMargins left="0.7" right="0.7" top="0.75" bottom="0.75" header="0.3" footer="0.3"/>
  <pageSetup paperSize="9" orientation="portrait" verticalDpi="0" r:id="rId1"/>
  <ignoredErrors>
    <ignoredError sqref="S8 S6:S7 AN7:AN8 V6 AB6 P7:P8 M7:M8 J7:J8 G7:G8 D7:D8 Y6 AE6 AH6 AK9 AK6" evalError="1"/>
    <ignoredError sqref="Q9:R9 T9:U9 W9:X9 Z9:AA9 N9:O9 K9:L9 H9:I9 E9:F9 B9:C9 AC9:AD9 AF9:AG9 AI9:AJ9" formulaRange="1"/>
    <ignoredError sqref="S9 V9 AB9" evalError="1" formula="1"/>
    <ignoredError sqref="Y9 M9 J9 P9 G9 D9 AE9 AH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9E114-DA0F-4D21-83AA-77F6B27B3869}">
  <dimension ref="A1:AR26"/>
  <sheetViews>
    <sheetView topLeftCell="B1" zoomScaleNormal="100" workbookViewId="0">
      <pane xSplit="1" topLeftCell="AE1" activePane="topRight" state="frozen"/>
      <selection activeCell="B1" sqref="B1"/>
      <selection pane="topRight" activeCell="AM12" sqref="AM12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3" width="8.7109375" style="25" customWidth="1"/>
    <col min="4" max="4" width="9" style="25" customWidth="1"/>
    <col min="5" max="5" width="11.5703125" style="25" customWidth="1"/>
    <col min="6" max="6" width="9.140625" style="25" customWidth="1"/>
    <col min="7" max="7" width="10.140625" style="25" customWidth="1"/>
    <col min="8" max="8" width="10.85546875" style="25" customWidth="1"/>
    <col min="9" max="9" width="9.7109375" style="25" customWidth="1"/>
    <col min="10" max="10" width="9.42578125" style="25" customWidth="1"/>
    <col min="11" max="12" width="10" style="25" customWidth="1"/>
    <col min="13" max="13" width="9.7109375" style="25" customWidth="1"/>
    <col min="14" max="14" width="11.140625" style="25" customWidth="1"/>
    <col min="15" max="15" width="8.85546875" style="25" customWidth="1"/>
    <col min="16" max="16" width="10.42578125" style="25" customWidth="1"/>
    <col min="17" max="17" width="10.140625" style="25" bestFit="1" customWidth="1"/>
    <col min="18" max="18" width="10.42578125" style="25" customWidth="1"/>
    <col min="19" max="19" width="11.42578125" style="25" customWidth="1"/>
    <col min="20" max="20" width="11.42578125" style="25"/>
    <col min="21" max="21" width="10.42578125" style="25" customWidth="1"/>
    <col min="22" max="22" width="10.5703125" style="25" customWidth="1"/>
    <col min="23" max="16384" width="11.42578125" style="25"/>
  </cols>
  <sheetData>
    <row r="1" spans="2:44">
      <c r="B1" s="10" t="s">
        <v>61</v>
      </c>
    </row>
    <row r="2" spans="2:44">
      <c r="B2" s="53"/>
      <c r="S2" s="27"/>
    </row>
    <row r="4" spans="2:44" ht="45" customHeight="1">
      <c r="B4" s="11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1" t="s">
        <v>29</v>
      </c>
      <c r="AN4" s="232"/>
      <c r="AO4" s="237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8" t="s">
        <v>34</v>
      </c>
      <c r="I5" s="12">
        <v>2019</v>
      </c>
      <c r="J5" s="12">
        <v>2020</v>
      </c>
      <c r="K5" s="28" t="s">
        <v>34</v>
      </c>
      <c r="L5" s="12">
        <v>2019</v>
      </c>
      <c r="M5" s="12">
        <v>2020</v>
      </c>
      <c r="N5" s="28" t="s">
        <v>34</v>
      </c>
      <c r="O5" s="12">
        <v>2019</v>
      </c>
      <c r="P5" s="12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2">
        <v>2019</v>
      </c>
      <c r="AN5" s="12">
        <v>2020</v>
      </c>
      <c r="AO5" s="238"/>
    </row>
    <row r="6" spans="2:44">
      <c r="B6" s="20" t="s">
        <v>6</v>
      </c>
      <c r="C6" s="40">
        <v>25257</v>
      </c>
      <c r="D6" s="40">
        <v>22959</v>
      </c>
      <c r="E6" s="62">
        <f>(D6-C6)/C6</f>
        <v>-9.0984677515144316E-2</v>
      </c>
      <c r="F6" s="40">
        <v>23640</v>
      </c>
      <c r="G6" s="40">
        <v>21067</v>
      </c>
      <c r="H6" s="62">
        <f>(G6-F6)/F6</f>
        <v>-0.1088409475465313</v>
      </c>
      <c r="I6" s="40">
        <v>31958</v>
      </c>
      <c r="J6" s="40">
        <v>10654</v>
      </c>
      <c r="K6" s="62">
        <f>(J6-I6)/I6</f>
        <v>-0.66662494524062832</v>
      </c>
      <c r="L6" s="40">
        <v>31951</v>
      </c>
      <c r="M6" s="40">
        <v>11220</v>
      </c>
      <c r="N6" s="62">
        <f>(M6-L6)/L6</f>
        <v>-0.64883728208819758</v>
      </c>
      <c r="O6" s="40">
        <v>30574</v>
      </c>
      <c r="P6" s="40">
        <v>20211</v>
      </c>
      <c r="Q6" s="62">
        <f>(P6-O6)/O6</f>
        <v>-0.33894812585857265</v>
      </c>
      <c r="R6" s="40">
        <v>32529</v>
      </c>
      <c r="S6" s="40">
        <v>26676</v>
      </c>
      <c r="T6" s="62">
        <f>(S6-R6)/R6</f>
        <v>-0.17993175320483262</v>
      </c>
      <c r="U6" s="40">
        <v>31428</v>
      </c>
      <c r="V6" s="66">
        <v>24784</v>
      </c>
      <c r="W6" s="62">
        <f>(V6-U6)/U6</f>
        <v>-0.21140384370624921</v>
      </c>
      <c r="X6" s="167">
        <v>20906</v>
      </c>
      <c r="Y6" s="167">
        <v>29888</v>
      </c>
      <c r="Z6" s="62">
        <f>(Y6-X6)/X6</f>
        <v>0.42963742466277621</v>
      </c>
      <c r="AA6" s="66">
        <v>21047</v>
      </c>
      <c r="AB6" s="66">
        <v>22161</v>
      </c>
      <c r="AC6" s="62">
        <f>(AB6-AA6)/AA6</f>
        <v>5.2929158549912099E-2</v>
      </c>
      <c r="AD6" s="40">
        <v>25138</v>
      </c>
      <c r="AE6" s="66">
        <v>24274</v>
      </c>
      <c r="AF6" s="62">
        <f>(AE6-AD6)/AD6</f>
        <v>-3.4370276076060149E-2</v>
      </c>
      <c r="AG6" s="40">
        <v>23271</v>
      </c>
      <c r="AH6" s="66">
        <v>20055</v>
      </c>
      <c r="AI6" s="62">
        <f>(AH6-AG6)/AG6</f>
        <v>-0.13819775686476732</v>
      </c>
      <c r="AJ6" s="46">
        <v>22682</v>
      </c>
      <c r="AK6" s="66">
        <v>23772</v>
      </c>
      <c r="AL6" s="62">
        <f>(AK6-AJ6)/AJ6</f>
        <v>4.8055727008200336E-2</v>
      </c>
      <c r="AM6" s="67">
        <f t="shared" ref="AM6:AN10" si="0">C6+F6+I6+L6+O6+R6+U6+X6+AA6+AD6+AG6+AJ6</f>
        <v>320381</v>
      </c>
      <c r="AN6" s="67">
        <f t="shared" si="0"/>
        <v>257721</v>
      </c>
      <c r="AO6" s="42">
        <f>(AN6-AM6)/AM6</f>
        <v>-0.19557963799351397</v>
      </c>
    </row>
    <row r="7" spans="2:44">
      <c r="B7" s="20" t="s">
        <v>3</v>
      </c>
      <c r="C7" s="40">
        <v>3250</v>
      </c>
      <c r="D7" s="40">
        <v>2881</v>
      </c>
      <c r="E7" s="62">
        <f>(D7-C7)/C7</f>
        <v>-0.11353846153846153</v>
      </c>
      <c r="F7" s="40">
        <v>3335</v>
      </c>
      <c r="G7" s="40">
        <v>3305</v>
      </c>
      <c r="H7" s="62">
        <f>(G7-F7)/F7</f>
        <v>-8.9955022488755615E-3</v>
      </c>
      <c r="I7" s="40">
        <v>4288</v>
      </c>
      <c r="J7" s="40">
        <v>1886</v>
      </c>
      <c r="K7" s="62">
        <f>(J7-I7)/I7</f>
        <v>-0.56016791044776115</v>
      </c>
      <c r="L7" s="40">
        <v>4315</v>
      </c>
      <c r="M7" s="27">
        <v>2188</v>
      </c>
      <c r="N7" s="62">
        <f>(M7-L7)/L7</f>
        <v>-0.49293163383545768</v>
      </c>
      <c r="O7" s="40">
        <v>4038</v>
      </c>
      <c r="P7" s="40">
        <v>2920</v>
      </c>
      <c r="Q7" s="62">
        <f>(P7-O7)/O7</f>
        <v>-0.27686973749380883</v>
      </c>
      <c r="R7" s="40">
        <v>3952</v>
      </c>
      <c r="S7" s="40">
        <v>3638</v>
      </c>
      <c r="T7" s="62">
        <f>(S7-R7)/R7</f>
        <v>-7.9453441295546559E-2</v>
      </c>
      <c r="U7" s="159">
        <v>3898</v>
      </c>
      <c r="V7" s="159">
        <v>4157</v>
      </c>
      <c r="W7" s="62">
        <f>(V7-U7)/U7</f>
        <v>6.6444330425859413E-2</v>
      </c>
      <c r="X7" s="168">
        <v>3176</v>
      </c>
      <c r="Y7" s="168">
        <v>3909</v>
      </c>
      <c r="Z7" s="62">
        <f>(Y7-X7)/X7</f>
        <v>0.2307934508816121</v>
      </c>
      <c r="AA7" s="66">
        <v>2760</v>
      </c>
      <c r="AB7" s="66">
        <v>3581</v>
      </c>
      <c r="AC7" s="62">
        <f>(AB7-AA7)/AA7</f>
        <v>0.29746376811594205</v>
      </c>
      <c r="AD7" s="40">
        <v>3512</v>
      </c>
      <c r="AE7" s="66">
        <v>3013</v>
      </c>
      <c r="AF7" s="62">
        <f>(AE7-AD7)/AD7</f>
        <v>-0.14208428246013668</v>
      </c>
      <c r="AG7" s="40">
        <v>2940</v>
      </c>
      <c r="AH7" s="66">
        <v>3173</v>
      </c>
      <c r="AI7" s="62">
        <f>(AH7-AG7)/AG7</f>
        <v>7.9251700680272111E-2</v>
      </c>
      <c r="AJ7" s="46">
        <v>2969</v>
      </c>
      <c r="AK7" s="66">
        <v>2886</v>
      </c>
      <c r="AL7" s="62">
        <f>(AK7-AJ7)/AJ7</f>
        <v>-2.795554058605591E-2</v>
      </c>
      <c r="AM7" s="67">
        <f t="shared" si="0"/>
        <v>42433</v>
      </c>
      <c r="AN7" s="67">
        <f t="shared" si="0"/>
        <v>37537</v>
      </c>
      <c r="AO7" s="42">
        <f>(AN7-AM7)/AM7</f>
        <v>-0.11538189616572007</v>
      </c>
    </row>
    <row r="8" spans="2:44">
      <c r="B8" s="20" t="s">
        <v>4</v>
      </c>
      <c r="C8" s="40">
        <v>636</v>
      </c>
      <c r="D8" s="40">
        <v>482</v>
      </c>
      <c r="E8" s="62">
        <f>(D8-C8)/C8</f>
        <v>-0.24213836477987422</v>
      </c>
      <c r="F8" s="40">
        <v>621</v>
      </c>
      <c r="G8" s="40">
        <v>506</v>
      </c>
      <c r="H8" s="62">
        <f>(G8-F8)/F8</f>
        <v>-0.18518518518518517</v>
      </c>
      <c r="I8" s="40">
        <v>988</v>
      </c>
      <c r="J8" s="40">
        <v>474</v>
      </c>
      <c r="K8" s="62">
        <f>(J8-I8)/I8</f>
        <v>-0.52024291497975705</v>
      </c>
      <c r="L8" s="40">
        <v>913</v>
      </c>
      <c r="M8" s="40">
        <v>478</v>
      </c>
      <c r="N8" s="62">
        <f>(M8-L8)/L8</f>
        <v>-0.4764512595837897</v>
      </c>
      <c r="O8" s="40">
        <v>834</v>
      </c>
      <c r="P8" s="40">
        <v>474</v>
      </c>
      <c r="Q8" s="62">
        <f>(P8-O8)/O8</f>
        <v>-0.43165467625899279</v>
      </c>
      <c r="R8" s="40">
        <v>1415</v>
      </c>
      <c r="S8" s="11">
        <v>462</v>
      </c>
      <c r="T8" s="62">
        <f>(S8-R8)/R8</f>
        <v>-0.67349823321554769</v>
      </c>
      <c r="U8" s="159">
        <v>489</v>
      </c>
      <c r="V8" s="159">
        <v>382</v>
      </c>
      <c r="W8" s="62">
        <f>(V8-U8)/U8</f>
        <v>-0.21881390593047034</v>
      </c>
      <c r="X8" s="168">
        <v>429</v>
      </c>
      <c r="Y8" s="168">
        <v>446</v>
      </c>
      <c r="Z8" s="62">
        <f>(Y8-X8)/X8</f>
        <v>3.9627039627039624E-2</v>
      </c>
      <c r="AA8" s="66">
        <v>445</v>
      </c>
      <c r="AB8" s="66">
        <v>490</v>
      </c>
      <c r="AC8" s="62">
        <f>(AB8-AA8)/AA8</f>
        <v>0.10112359550561797</v>
      </c>
      <c r="AD8" s="40">
        <v>500</v>
      </c>
      <c r="AE8" s="66">
        <v>529</v>
      </c>
      <c r="AF8" s="62">
        <f>(AE8-AD8)/AD8</f>
        <v>5.8000000000000003E-2</v>
      </c>
      <c r="AG8" s="40">
        <v>411</v>
      </c>
      <c r="AH8" s="66">
        <v>441</v>
      </c>
      <c r="AI8" s="62">
        <f>(AH8-AG8)/AG8</f>
        <v>7.2992700729927001E-2</v>
      </c>
      <c r="AJ8" s="46">
        <v>340</v>
      </c>
      <c r="AK8" s="66">
        <v>365</v>
      </c>
      <c r="AL8" s="62">
        <f>(AK8-AJ8)/AJ8</f>
        <v>7.3529411764705885E-2</v>
      </c>
      <c r="AM8" s="67">
        <f t="shared" si="0"/>
        <v>8021</v>
      </c>
      <c r="AN8" s="67">
        <f t="shared" si="0"/>
        <v>5529</v>
      </c>
      <c r="AO8" s="42">
        <f>(AN8-AM8)/AM8</f>
        <v>-0.31068445331006111</v>
      </c>
    </row>
    <row r="9" spans="2:44">
      <c r="B9" s="20" t="s">
        <v>5</v>
      </c>
      <c r="C9" s="40">
        <v>100</v>
      </c>
      <c r="D9" s="40">
        <v>56</v>
      </c>
      <c r="E9" s="62">
        <f>(D9-C9)/C9</f>
        <v>-0.44</v>
      </c>
      <c r="F9" s="40">
        <v>73</v>
      </c>
      <c r="G9" s="40">
        <v>95</v>
      </c>
      <c r="H9" s="62">
        <f>(G9-F9)/F9</f>
        <v>0.30136986301369861</v>
      </c>
      <c r="I9" s="40">
        <v>65</v>
      </c>
      <c r="J9" s="40">
        <v>73</v>
      </c>
      <c r="K9" s="62">
        <f>(J9-I9)/I9</f>
        <v>0.12307692307692308</v>
      </c>
      <c r="L9" s="40">
        <v>54</v>
      </c>
      <c r="M9" s="40">
        <v>2</v>
      </c>
      <c r="N9" s="62">
        <f>(M9-L9)/L9</f>
        <v>-0.96296296296296291</v>
      </c>
      <c r="O9" s="40">
        <v>142</v>
      </c>
      <c r="P9" s="40">
        <v>55</v>
      </c>
      <c r="Q9" s="62">
        <f>(P9-O9)/O9</f>
        <v>-0.61267605633802813</v>
      </c>
      <c r="R9" s="11">
        <v>128</v>
      </c>
      <c r="S9" s="11">
        <v>69</v>
      </c>
      <c r="T9" s="62">
        <f>(S9-R9)/R9</f>
        <v>-0.4609375</v>
      </c>
      <c r="U9" s="159">
        <v>95</v>
      </c>
      <c r="V9" s="159">
        <v>106</v>
      </c>
      <c r="W9" s="62">
        <f>(V9-U9)/U9</f>
        <v>0.11578947368421053</v>
      </c>
      <c r="X9" s="168">
        <v>73</v>
      </c>
      <c r="Y9" s="168">
        <v>126</v>
      </c>
      <c r="Z9" s="62">
        <f>(Y9-X9)/X9</f>
        <v>0.72602739726027399</v>
      </c>
      <c r="AA9" s="81">
        <v>74</v>
      </c>
      <c r="AB9" s="66">
        <v>79</v>
      </c>
      <c r="AC9" s="62">
        <f>(AB9-AA9)/AA9</f>
        <v>6.7567567567567571E-2</v>
      </c>
      <c r="AD9" s="27">
        <v>38</v>
      </c>
      <c r="AE9" s="66">
        <v>48</v>
      </c>
      <c r="AF9" s="62">
        <f>(AE9-AD9)/AD9</f>
        <v>0.26315789473684209</v>
      </c>
      <c r="AG9" s="27">
        <v>114</v>
      </c>
      <c r="AH9" s="66">
        <v>119</v>
      </c>
      <c r="AI9" s="62">
        <f>(AH9-AG9)/AG9</f>
        <v>4.3859649122807015E-2</v>
      </c>
      <c r="AJ9" s="46">
        <v>143</v>
      </c>
      <c r="AK9" s="66">
        <v>108</v>
      </c>
      <c r="AL9" s="62">
        <f>(AK9-AJ9)/AJ9</f>
        <v>-0.24475524475524477</v>
      </c>
      <c r="AM9" s="67">
        <f t="shared" si="0"/>
        <v>1099</v>
      </c>
      <c r="AN9" s="67">
        <f t="shared" si="0"/>
        <v>936</v>
      </c>
      <c r="AO9" s="42">
        <f>(AN9-AM9)/AM9</f>
        <v>-0.14831665150136489</v>
      </c>
    </row>
    <row r="10" spans="2:44" s="10" customFormat="1">
      <c r="B10" s="47" t="s">
        <v>7</v>
      </c>
      <c r="C10" s="16">
        <f>SUM(C6:C9)</f>
        <v>29243</v>
      </c>
      <c r="D10" s="16">
        <f>SUM(D6:D9)</f>
        <v>26378</v>
      </c>
      <c r="E10" s="63">
        <f>(D10-C10)/C10</f>
        <v>-9.7972164278630786E-2</v>
      </c>
      <c r="F10" s="16">
        <f>SUM(F6:F9)</f>
        <v>27669</v>
      </c>
      <c r="G10" s="16">
        <f>SUM(G6:G9)</f>
        <v>24973</v>
      </c>
      <c r="H10" s="63">
        <f>(G10-F10)/F10</f>
        <v>-9.7437565506523549E-2</v>
      </c>
      <c r="I10" s="16">
        <f>SUM(I6:I9)</f>
        <v>37299</v>
      </c>
      <c r="J10" s="16">
        <f>SUM(J6:J9)</f>
        <v>13087</v>
      </c>
      <c r="K10" s="63">
        <f>(J10-I10)/I10</f>
        <v>-0.64913268452237327</v>
      </c>
      <c r="L10" s="67">
        <f>SUM(L6:L9)</f>
        <v>37233</v>
      </c>
      <c r="M10" s="16">
        <f>SUM(M6:M9)</f>
        <v>13888</v>
      </c>
      <c r="N10" s="63">
        <f>(M10-L10)/L10</f>
        <v>-0.62699755593156603</v>
      </c>
      <c r="O10" s="16">
        <f>SUM(O6:O9)</f>
        <v>35588</v>
      </c>
      <c r="P10" s="16">
        <f>SUM(P6:P9)</f>
        <v>23660</v>
      </c>
      <c r="Q10" s="63">
        <f>(P10-O10)/O10</f>
        <v>-0.33516915814319431</v>
      </c>
      <c r="R10" s="16">
        <f>SUM(R6:R9)</f>
        <v>38024</v>
      </c>
      <c r="S10" s="16">
        <f>SUM(S6:S9)</f>
        <v>30845</v>
      </c>
      <c r="T10" s="63">
        <f>(S10-R10)/R10</f>
        <v>-0.18880180938354724</v>
      </c>
      <c r="U10" s="67">
        <f>SUM(U6:U9)</f>
        <v>35910</v>
      </c>
      <c r="V10" s="67">
        <f>SUM(V6:V9)</f>
        <v>29429</v>
      </c>
      <c r="W10" s="63">
        <f>(V10-U10)/U10</f>
        <v>-0.18047897521581732</v>
      </c>
      <c r="X10" s="67">
        <f>SUM(X6:X9)</f>
        <v>24584</v>
      </c>
      <c r="Y10" s="67">
        <f>SUM(Y6:Y9)</f>
        <v>34369</v>
      </c>
      <c r="Z10" s="63">
        <f>(Y10-X10)/X10</f>
        <v>0.39802310445818417</v>
      </c>
      <c r="AA10" s="67">
        <f>SUM(AA6:AA9)</f>
        <v>24326</v>
      </c>
      <c r="AB10" s="67">
        <f>SUM(AB6:AB9)</f>
        <v>26311</v>
      </c>
      <c r="AC10" s="63">
        <f>(AB10-AA10)/AA10</f>
        <v>8.1599934226753268E-2</v>
      </c>
      <c r="AD10" s="67">
        <f>SUM(AD6:AD9)</f>
        <v>29188</v>
      </c>
      <c r="AE10" s="67">
        <f>SUM(AE6:AE9)</f>
        <v>27864</v>
      </c>
      <c r="AF10" s="63">
        <f>(AE10-AD10)/AD10</f>
        <v>-4.5361107304371658E-2</v>
      </c>
      <c r="AG10" s="187">
        <f>SUM(AG6:AG9)</f>
        <v>26736</v>
      </c>
      <c r="AH10" s="187">
        <f>SUM(AH6:AH9)</f>
        <v>23788</v>
      </c>
      <c r="AI10" s="63">
        <f>(AH10-AG10)/AG10</f>
        <v>-0.11026331538001197</v>
      </c>
      <c r="AJ10" s="187">
        <f>SUM(AJ6:AJ9)</f>
        <v>26134</v>
      </c>
      <c r="AK10" s="187">
        <f>SUM(AK6:AK9)</f>
        <v>27131</v>
      </c>
      <c r="AL10" s="63">
        <f>(AK10-AJ10)/AJ10</f>
        <v>3.8149537001607101E-2</v>
      </c>
      <c r="AM10" s="67">
        <f t="shared" si="0"/>
        <v>371934</v>
      </c>
      <c r="AN10" s="67">
        <f t="shared" si="0"/>
        <v>301723</v>
      </c>
      <c r="AO10" s="39">
        <f>(AN10-AM10)/AM10</f>
        <v>-0.18877273924943672</v>
      </c>
      <c r="AQ10" s="25"/>
      <c r="AR10" s="24"/>
    </row>
    <row r="12" spans="2:44">
      <c r="B12" s="149" t="s">
        <v>119</v>
      </c>
      <c r="C12" s="86" t="s">
        <v>120</v>
      </c>
      <c r="AE12" s="64"/>
      <c r="AM12" s="184"/>
    </row>
    <row r="13" spans="2:44">
      <c r="B13" s="87" t="s">
        <v>143</v>
      </c>
      <c r="W13" s="26"/>
      <c r="X13" s="26"/>
      <c r="Y13" s="26"/>
      <c r="Z13" s="81"/>
      <c r="AA13" s="81"/>
      <c r="AB13" s="81"/>
      <c r="AC13" s="81"/>
      <c r="AD13" s="26"/>
      <c r="AE13" s="26"/>
      <c r="AF13" s="26"/>
      <c r="AG13" s="26"/>
      <c r="AH13" s="26"/>
      <c r="AI13" s="26"/>
    </row>
    <row r="14" spans="2:44">
      <c r="C14" s="26"/>
      <c r="D14" s="26"/>
      <c r="E14" s="26"/>
      <c r="F14" s="26"/>
      <c r="G14" s="26"/>
      <c r="Z14" s="81"/>
      <c r="AA14" s="81"/>
      <c r="AB14" s="81"/>
      <c r="AC14" s="81"/>
      <c r="AI14" s="184"/>
      <c r="AJ14" s="184"/>
      <c r="AK14" s="184"/>
      <c r="AL14" s="184"/>
      <c r="AM14" s="184"/>
      <c r="AN14" s="184"/>
    </row>
    <row r="15" spans="2:44">
      <c r="C15" s="117"/>
      <c r="D15" s="117"/>
      <c r="E15" s="117"/>
      <c r="F15" s="117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117"/>
      <c r="V15" s="117"/>
      <c r="W15" s="27"/>
      <c r="X15" s="27"/>
      <c r="Y15" s="27"/>
      <c r="Z15" s="81"/>
      <c r="AA15" s="81"/>
      <c r="AB15" s="81"/>
      <c r="AC15" s="81"/>
      <c r="AD15" s="27"/>
      <c r="AE15" s="27"/>
      <c r="AF15" s="27"/>
      <c r="AG15" s="27"/>
      <c r="AH15" s="27"/>
      <c r="AI15" s="184"/>
      <c r="AJ15" s="184"/>
      <c r="AK15" s="184"/>
      <c r="AL15" s="184"/>
      <c r="AM15" s="184"/>
      <c r="AN15" s="184"/>
    </row>
    <row r="16" spans="2:44">
      <c r="C16" s="117"/>
      <c r="D16" s="239"/>
      <c r="E16" s="239"/>
      <c r="F16" s="140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140"/>
      <c r="V16" s="117"/>
      <c r="W16" s="27"/>
      <c r="X16" s="27"/>
      <c r="Y16" s="27"/>
      <c r="Z16" s="81"/>
      <c r="AA16" s="81"/>
      <c r="AB16" s="81"/>
      <c r="AC16" s="81"/>
      <c r="AD16" s="27"/>
      <c r="AE16" s="27"/>
      <c r="AF16" s="27"/>
      <c r="AG16" s="27"/>
      <c r="AH16" s="27"/>
      <c r="AI16" s="184"/>
      <c r="AJ16" s="184"/>
      <c r="AK16" s="184"/>
      <c r="AL16" s="184"/>
      <c r="AM16" s="184"/>
      <c r="AN16" s="184"/>
    </row>
    <row r="17" spans="3:40">
      <c r="C17" s="117"/>
      <c r="D17" s="141"/>
      <c r="E17" s="141"/>
      <c r="F17" s="142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140"/>
      <c r="V17" s="117"/>
      <c r="W17" s="27"/>
      <c r="X17" s="27"/>
      <c r="Y17" s="27"/>
      <c r="Z17" s="81"/>
      <c r="AA17" s="81"/>
      <c r="AB17" s="81"/>
      <c r="AC17" s="81"/>
      <c r="AD17" s="27"/>
      <c r="AE17" s="27"/>
      <c r="AF17" s="27"/>
      <c r="AG17" s="27"/>
      <c r="AH17" s="27"/>
      <c r="AI17" s="184"/>
      <c r="AJ17" s="184"/>
      <c r="AK17" s="184"/>
      <c r="AL17" s="184"/>
      <c r="AM17" s="184"/>
      <c r="AN17" s="184"/>
    </row>
    <row r="18" spans="3:40">
      <c r="C18" s="143"/>
      <c r="D18" s="144"/>
      <c r="E18" s="144"/>
      <c r="F18" s="145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145"/>
      <c r="V18" s="11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184"/>
      <c r="AJ18" s="184"/>
      <c r="AK18" s="184"/>
      <c r="AL18" s="184"/>
      <c r="AM18" s="184"/>
      <c r="AN18" s="184"/>
    </row>
    <row r="19" spans="3:40">
      <c r="C19" s="143"/>
      <c r="D19" s="144"/>
      <c r="E19" s="144"/>
      <c r="F19" s="145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145"/>
      <c r="V19" s="11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184"/>
      <c r="AJ19" s="184"/>
      <c r="AK19" s="184"/>
      <c r="AL19" s="184"/>
      <c r="AM19" s="184"/>
      <c r="AN19" s="184"/>
    </row>
    <row r="20" spans="3:40">
      <c r="C20" s="143"/>
      <c r="D20" s="144"/>
      <c r="E20" s="144"/>
      <c r="F20" s="145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145"/>
      <c r="V20" s="11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184"/>
      <c r="AJ20" s="184"/>
      <c r="AK20" s="184"/>
      <c r="AL20" s="184"/>
      <c r="AM20" s="184"/>
      <c r="AN20" s="184"/>
    </row>
    <row r="21" spans="3:40">
      <c r="C21" s="143"/>
      <c r="D21" s="144"/>
      <c r="E21" s="144"/>
      <c r="F21" s="145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145"/>
      <c r="V21" s="117"/>
    </row>
    <row r="22" spans="3:40">
      <c r="C22" s="146"/>
      <c r="D22" s="147"/>
      <c r="E22" s="147"/>
      <c r="F22" s="148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145"/>
      <c r="V22" s="117"/>
    </row>
    <row r="23" spans="3:40">
      <c r="C23" s="117"/>
      <c r="D23" s="117"/>
      <c r="E23" s="117"/>
      <c r="F23" s="117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117"/>
      <c r="V23" s="117"/>
    </row>
    <row r="24" spans="3:40"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3:40"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3:40"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</sheetData>
  <mergeCells count="15">
    <mergeCell ref="D16:E16"/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C12" r:id="rId1" xr:uid="{80791A3E-5E32-4863-B5F7-DC91CC15DD7C}"/>
  </hyperlinks>
  <pageMargins left="0.7" right="0.7" top="0.78740157499999996" bottom="0.78740157499999996" header="0.3" footer="0.3"/>
  <pageSetup paperSize="9" orientation="portrait" r:id="rId2"/>
  <ignoredErrors>
    <ignoredError sqref="C10:D10 F10:G10 P10 R10:S10 U10:V10 X10:Y10 AA10:AB10 AD10:AE10 AG10:AH10 AJ10:AK10" formulaRange="1"/>
    <ignoredError sqref="E10 H10 I10:J10 L10:M10 O10" formula="1" formulaRange="1"/>
    <ignoredError sqref="K10 N10 Q10 T10 W10 Z10 AC10 AI10" formula="1"/>
    <ignoredError sqref="AC7:AC9 AF6:AF9 AI7:AI9 AL7:AL9" evalError="1"/>
    <ignoredError sqref="AF10" evalError="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A83FA-F806-4F34-94E2-E9FD8609F3AF}">
  <dimension ref="A1:AR21"/>
  <sheetViews>
    <sheetView topLeftCell="B1" zoomScaleNormal="100" workbookViewId="0">
      <pane xSplit="1" topLeftCell="AE1" activePane="topRight" state="frozen"/>
      <selection activeCell="B1" sqref="B1"/>
      <selection pane="topRight" activeCell="AM13" sqref="AM13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3" width="8.7109375" style="25" customWidth="1"/>
    <col min="4" max="4" width="9" style="25" customWidth="1"/>
    <col min="5" max="5" width="11.5703125" style="25" customWidth="1"/>
    <col min="6" max="6" width="9.140625" style="25" customWidth="1"/>
    <col min="7" max="7" width="10.140625" style="25" customWidth="1"/>
    <col min="8" max="8" width="10.85546875" style="25" customWidth="1"/>
    <col min="9" max="9" width="9.7109375" style="25" customWidth="1"/>
    <col min="10" max="10" width="9.42578125" style="25" customWidth="1"/>
    <col min="11" max="12" width="10" style="25" customWidth="1"/>
    <col min="13" max="13" width="9.7109375" style="25" customWidth="1"/>
    <col min="14" max="14" width="11.140625" style="25" customWidth="1"/>
    <col min="15" max="15" width="8.85546875" style="25" customWidth="1"/>
    <col min="16" max="16" width="10.42578125" style="25" customWidth="1"/>
    <col min="17" max="17" width="10.140625" style="25" bestFit="1" customWidth="1"/>
    <col min="18" max="18" width="10.42578125" style="25" customWidth="1"/>
    <col min="19" max="19" width="11.42578125" style="25" customWidth="1"/>
    <col min="20" max="21" width="11.42578125" style="25"/>
    <col min="22" max="22" width="10.5703125" style="25" customWidth="1"/>
    <col min="23" max="16384" width="11.42578125" style="25"/>
  </cols>
  <sheetData>
    <row r="1" spans="2:44">
      <c r="B1" s="10" t="s">
        <v>54</v>
      </c>
    </row>
    <row r="2" spans="2:44">
      <c r="B2" s="53"/>
      <c r="S2" s="27"/>
    </row>
    <row r="4" spans="2:44" ht="45" customHeight="1">
      <c r="B4" s="18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5" t="s">
        <v>29</v>
      </c>
      <c r="AN4" s="236"/>
      <c r="AO4" s="237" t="s">
        <v>28</v>
      </c>
    </row>
    <row r="5" spans="2:44" ht="15" customHeight="1">
      <c r="B5" s="1"/>
      <c r="C5" s="13">
        <v>2019</v>
      </c>
      <c r="D5" s="13">
        <v>2020</v>
      </c>
      <c r="E5" s="17" t="s">
        <v>34</v>
      </c>
      <c r="F5" s="13">
        <v>2019</v>
      </c>
      <c r="G5" s="13">
        <v>2020</v>
      </c>
      <c r="H5" s="28" t="s">
        <v>34</v>
      </c>
      <c r="I5" s="13">
        <v>2019</v>
      </c>
      <c r="J5" s="13">
        <v>2020</v>
      </c>
      <c r="K5" s="28" t="s">
        <v>34</v>
      </c>
      <c r="L5" s="13">
        <v>2019</v>
      </c>
      <c r="M5" s="13">
        <v>2020</v>
      </c>
      <c r="N5" s="28" t="s">
        <v>34</v>
      </c>
      <c r="O5" s="13">
        <v>2019</v>
      </c>
      <c r="P5" s="13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3">
        <v>2019</v>
      </c>
      <c r="AN5" s="13">
        <v>2020</v>
      </c>
      <c r="AO5" s="238"/>
    </row>
    <row r="6" spans="2:44">
      <c r="B6" s="19" t="s">
        <v>6</v>
      </c>
      <c r="C6" s="2">
        <v>51074</v>
      </c>
      <c r="D6" s="2">
        <v>51840</v>
      </c>
      <c r="E6" s="62">
        <f>(D6-C6)/C6</f>
        <v>1.4997846262286094E-2</v>
      </c>
      <c r="F6" s="2">
        <v>49919</v>
      </c>
      <c r="G6" s="2">
        <v>46775</v>
      </c>
      <c r="H6" s="62">
        <f>(G6-F6)/F6</f>
        <v>-6.2982030890041868E-2</v>
      </c>
      <c r="I6" s="2">
        <v>54872</v>
      </c>
      <c r="J6" s="2">
        <v>28801</v>
      </c>
      <c r="K6" s="62">
        <f>(J6-I6)/I6</f>
        <v>-0.47512392477037468</v>
      </c>
      <c r="L6" s="2">
        <v>53498</v>
      </c>
      <c r="M6" s="2">
        <v>5297</v>
      </c>
      <c r="N6" s="62">
        <f>(M6-L6)/L6</f>
        <v>-0.90098695278328167</v>
      </c>
      <c r="O6" s="2">
        <v>51081</v>
      </c>
      <c r="P6" s="2">
        <v>34752</v>
      </c>
      <c r="Q6" s="62">
        <f>(P6-O6)/O6</f>
        <v>-0.31966876137898631</v>
      </c>
      <c r="R6" s="2">
        <v>50044</v>
      </c>
      <c r="S6" s="40">
        <v>49141</v>
      </c>
      <c r="T6" s="62">
        <f>(S6-R6)/R6</f>
        <v>-1.8044121173367438E-2</v>
      </c>
      <c r="U6" s="2">
        <v>45110</v>
      </c>
      <c r="V6" s="66">
        <v>44532</v>
      </c>
      <c r="W6" s="62">
        <f>(V6-U6)/U6</f>
        <v>-1.2813123475947683E-2</v>
      </c>
      <c r="X6" s="160">
        <v>47936</v>
      </c>
      <c r="Y6" s="160">
        <v>36387</v>
      </c>
      <c r="Z6" s="62">
        <f>(Y6-X6)/X6</f>
        <v>-0.2409254005340454</v>
      </c>
      <c r="AA6" s="2">
        <v>35720</v>
      </c>
      <c r="AB6" s="66">
        <v>36083</v>
      </c>
      <c r="AC6" s="62">
        <f>(AB6-AA6)/AA6</f>
        <v>1.0162374020156776E-2</v>
      </c>
      <c r="AD6" s="2">
        <v>42713</v>
      </c>
      <c r="AE6" s="66">
        <v>38703</v>
      </c>
      <c r="AF6" s="62">
        <f>(AE6-AD6)/AD6</f>
        <v>-9.3882424554585259E-2</v>
      </c>
      <c r="AG6" s="2">
        <v>34574</v>
      </c>
      <c r="AH6" s="66">
        <v>22103</v>
      </c>
      <c r="AI6" s="62">
        <f>(AH6-AG6)/AG6</f>
        <v>-0.36070457569271708</v>
      </c>
      <c r="AJ6" s="4">
        <v>33467</v>
      </c>
      <c r="AK6" s="66">
        <v>30078</v>
      </c>
      <c r="AL6" s="62">
        <f>(AK6-AJ6)/AJ6</f>
        <v>-0.10126393163414707</v>
      </c>
      <c r="AM6" s="3">
        <f t="shared" ref="AM6:AN10" si="0">C6+F6+I6+L6+O6+R6+U6+X6+AA6+AD6+AG6+AJ6</f>
        <v>550008</v>
      </c>
      <c r="AN6" s="3">
        <f t="shared" si="0"/>
        <v>424492</v>
      </c>
      <c r="AO6" s="14">
        <f>(AN6-AM6)/AM6</f>
        <v>-0.22820758970778607</v>
      </c>
    </row>
    <row r="7" spans="2:44">
      <c r="B7" s="19" t="s">
        <v>3</v>
      </c>
      <c r="C7" s="2">
        <v>7640</v>
      </c>
      <c r="D7" s="2">
        <v>7814</v>
      </c>
      <c r="E7" s="62">
        <f>(D7-C7)/C7</f>
        <v>2.2774869109947644E-2</v>
      </c>
      <c r="F7" s="2">
        <v>6745</v>
      </c>
      <c r="G7" s="2">
        <v>7048</v>
      </c>
      <c r="H7" s="62">
        <f>(G7-F7)/F7</f>
        <v>4.4922164566345443E-2</v>
      </c>
      <c r="I7" s="2">
        <v>7807</v>
      </c>
      <c r="J7" s="2">
        <v>4386</v>
      </c>
      <c r="K7" s="62">
        <f>(J7-I7)/I7</f>
        <v>-0.43819649032919172</v>
      </c>
      <c r="L7" s="2">
        <v>6953</v>
      </c>
      <c r="M7" s="27">
        <v>1369</v>
      </c>
      <c r="N7" s="62">
        <f>(M7-L7)/L7</f>
        <v>-0.80310657270243058</v>
      </c>
      <c r="O7" s="2">
        <v>7412</v>
      </c>
      <c r="P7" s="2">
        <v>5750</v>
      </c>
      <c r="Q7" s="62">
        <f>(P7-O7)/O7</f>
        <v>-0.22423097679438747</v>
      </c>
      <c r="R7" s="2">
        <v>7164</v>
      </c>
      <c r="S7" s="40">
        <v>7769</v>
      </c>
      <c r="T7" s="62">
        <f>(S7-R7)/R7</f>
        <v>8.4450027917364598E-2</v>
      </c>
      <c r="U7" s="2">
        <v>6743</v>
      </c>
      <c r="V7" s="66">
        <v>6786</v>
      </c>
      <c r="W7" s="62">
        <f>(V7-U7)/U7</f>
        <v>6.3769835384843545E-3</v>
      </c>
      <c r="X7" s="161">
        <v>6654</v>
      </c>
      <c r="Y7" s="161">
        <v>6193</v>
      </c>
      <c r="Z7" s="62">
        <f>(Y7-X7)/X7</f>
        <v>-6.9281635106702738E-2</v>
      </c>
      <c r="AA7" s="2">
        <v>5156</v>
      </c>
      <c r="AB7" s="66">
        <v>5764</v>
      </c>
      <c r="AC7" s="62">
        <f>(AB7-AA7)/AA7</f>
        <v>0.11792086889061287</v>
      </c>
      <c r="AD7" s="2">
        <v>6734</v>
      </c>
      <c r="AE7" s="66">
        <v>6875</v>
      </c>
      <c r="AF7" s="62">
        <f>(AE7-AD7)/AD7</f>
        <v>2.093852093852094E-2</v>
      </c>
      <c r="AG7" s="2">
        <v>6032</v>
      </c>
      <c r="AH7" s="170">
        <v>5558</v>
      </c>
      <c r="AI7" s="62">
        <f>(AH7-AG7)/AG7</f>
        <v>-7.8580901856763932E-2</v>
      </c>
      <c r="AJ7" s="4">
        <v>6178</v>
      </c>
      <c r="AK7" s="66">
        <v>6030</v>
      </c>
      <c r="AL7" s="62">
        <f>(AK7-AJ7)/AJ7</f>
        <v>-2.3955972806733571E-2</v>
      </c>
      <c r="AM7" s="3">
        <f t="shared" si="0"/>
        <v>81218</v>
      </c>
      <c r="AN7" s="3">
        <f t="shared" si="0"/>
        <v>71342</v>
      </c>
      <c r="AO7" s="14">
        <f>(AN7-AM7)/AM7</f>
        <v>-0.12159866039547884</v>
      </c>
    </row>
    <row r="8" spans="2:44">
      <c r="B8" s="19" t="s">
        <v>4</v>
      </c>
      <c r="C8" s="2">
        <v>1269</v>
      </c>
      <c r="D8" s="2">
        <v>924</v>
      </c>
      <c r="E8" s="62">
        <f>(D8-C8)/C8</f>
        <v>-0.27186761229314421</v>
      </c>
      <c r="F8" s="2">
        <v>891</v>
      </c>
      <c r="G8" s="2">
        <v>717</v>
      </c>
      <c r="H8" s="62">
        <f>(G8-F8)/F8</f>
        <v>-0.19528619528619529</v>
      </c>
      <c r="I8" s="2">
        <v>1129</v>
      </c>
      <c r="J8" s="2">
        <v>561</v>
      </c>
      <c r="K8" s="62">
        <f>(J8-I8)/I8</f>
        <v>-0.50310008857395927</v>
      </c>
      <c r="L8" s="2">
        <v>1031</v>
      </c>
      <c r="M8" s="2">
        <v>454</v>
      </c>
      <c r="N8" s="62">
        <f>(M8-L8)/L8</f>
        <v>-0.55965082444228909</v>
      </c>
      <c r="O8" s="2">
        <v>1275</v>
      </c>
      <c r="P8" s="2">
        <v>515</v>
      </c>
      <c r="Q8" s="62">
        <f>(P8-O8)/O8</f>
        <v>-0.59607843137254901</v>
      </c>
      <c r="R8" s="2">
        <v>1707</v>
      </c>
      <c r="S8" s="11">
        <v>668</v>
      </c>
      <c r="T8" s="62">
        <f>(S8-R8)/R8</f>
        <v>-0.60867018160515529</v>
      </c>
      <c r="U8" s="2">
        <f>93+520</f>
        <v>613</v>
      </c>
      <c r="V8" s="66">
        <f>115+468</f>
        <v>583</v>
      </c>
      <c r="W8" s="62">
        <f>(V8-U8)/U8</f>
        <v>-4.8939641109298535E-2</v>
      </c>
      <c r="X8" s="2">
        <v>440</v>
      </c>
      <c r="Y8" s="11">
        <v>482</v>
      </c>
      <c r="Z8" s="62">
        <f>(Y8-X8)/X8</f>
        <v>9.5454545454545459E-2</v>
      </c>
      <c r="AA8" s="2">
        <v>715</v>
      </c>
      <c r="AB8" s="66">
        <v>623</v>
      </c>
      <c r="AC8" s="62">
        <f>(AB8-AA8)/AA8</f>
        <v>-0.12867132867132866</v>
      </c>
      <c r="AD8" s="2">
        <v>141</v>
      </c>
      <c r="AE8" s="66">
        <v>142</v>
      </c>
      <c r="AF8" s="62">
        <f>(AE8-AD8)/AD8</f>
        <v>7.0921985815602835E-3</v>
      </c>
      <c r="AG8" s="2">
        <v>110</v>
      </c>
      <c r="AH8" s="66">
        <v>114</v>
      </c>
      <c r="AI8" s="62">
        <f>(AH8-AG8)/AG8</f>
        <v>3.6363636363636362E-2</v>
      </c>
      <c r="AJ8" s="4">
        <v>143</v>
      </c>
      <c r="AK8" s="66">
        <v>124</v>
      </c>
      <c r="AL8" s="62">
        <f>(AK8-AJ8)/AJ8</f>
        <v>-0.13286713286713286</v>
      </c>
      <c r="AM8" s="3">
        <f t="shared" si="0"/>
        <v>9464</v>
      </c>
      <c r="AN8" s="3">
        <f t="shared" si="0"/>
        <v>5907</v>
      </c>
      <c r="AO8" s="14">
        <f>(AN8-AM8)/AM8</f>
        <v>-0.37584530853761622</v>
      </c>
    </row>
    <row r="9" spans="2:44">
      <c r="B9" s="20" t="s">
        <v>5</v>
      </c>
      <c r="C9" s="2">
        <v>114</v>
      </c>
      <c r="D9" s="2">
        <v>115</v>
      </c>
      <c r="E9" s="62">
        <f>(D9-C9)/C9</f>
        <v>8.771929824561403E-3</v>
      </c>
      <c r="F9" s="2">
        <v>77</v>
      </c>
      <c r="G9" s="2">
        <v>74</v>
      </c>
      <c r="H9" s="62">
        <f>(G9-F9)/F9</f>
        <v>-3.896103896103896E-2</v>
      </c>
      <c r="I9" s="2">
        <v>84</v>
      </c>
      <c r="J9" s="2">
        <v>37</v>
      </c>
      <c r="K9" s="62">
        <f>(J9-I9)/I9</f>
        <v>-0.55952380952380953</v>
      </c>
      <c r="L9" s="2">
        <v>162</v>
      </c>
      <c r="M9" s="2">
        <v>60</v>
      </c>
      <c r="N9" s="62">
        <f>(M9-L9)/L9</f>
        <v>-0.62962962962962965</v>
      </c>
      <c r="O9" s="2">
        <v>124</v>
      </c>
      <c r="P9" s="2">
        <v>21</v>
      </c>
      <c r="Q9" s="62">
        <f>(P9-O9)/O9</f>
        <v>-0.83064516129032262</v>
      </c>
      <c r="R9" s="1">
        <v>202</v>
      </c>
      <c r="S9" s="11">
        <v>107</v>
      </c>
      <c r="T9" s="62">
        <f>(S9-R9)/R9</f>
        <v>-0.47029702970297027</v>
      </c>
      <c r="U9" s="1">
        <v>200</v>
      </c>
      <c r="V9" s="66">
        <v>102</v>
      </c>
      <c r="W9" s="62">
        <f>(V9-U9)/U9</f>
        <v>-0.49</v>
      </c>
      <c r="X9" s="2">
        <v>98</v>
      </c>
      <c r="Y9" s="11">
        <v>96</v>
      </c>
      <c r="Z9" s="62">
        <f>(Y9-X9)/X9</f>
        <v>-2.0408163265306121E-2</v>
      </c>
      <c r="AA9" s="81">
        <v>57</v>
      </c>
      <c r="AB9" s="66">
        <v>55</v>
      </c>
      <c r="AC9" s="62">
        <f>(AB9-AA9)/AA9</f>
        <v>-3.5087719298245612E-2</v>
      </c>
      <c r="AD9" s="27">
        <v>70</v>
      </c>
      <c r="AE9" s="66">
        <v>34</v>
      </c>
      <c r="AF9" s="62">
        <f>(AE9-AD9)/AD9</f>
        <v>-0.51428571428571423</v>
      </c>
      <c r="AG9" s="27">
        <v>62</v>
      </c>
      <c r="AH9" s="66">
        <v>30</v>
      </c>
      <c r="AI9" s="62">
        <f>(AH9-AG9)/AG9</f>
        <v>-0.5161290322580645</v>
      </c>
      <c r="AJ9" s="4">
        <v>60</v>
      </c>
      <c r="AK9" s="66">
        <v>56</v>
      </c>
      <c r="AL9" s="62">
        <f>(AK9-AJ9)/AJ9</f>
        <v>-6.6666666666666666E-2</v>
      </c>
      <c r="AM9" s="3">
        <f t="shared" si="0"/>
        <v>1310</v>
      </c>
      <c r="AN9" s="3">
        <f t="shared" si="0"/>
        <v>787</v>
      </c>
      <c r="AO9" s="14">
        <f>(AN9-AM9)/AM9</f>
        <v>-0.39923664122137403</v>
      </c>
    </row>
    <row r="10" spans="2:44" s="10" customFormat="1">
      <c r="B10" s="22" t="s">
        <v>7</v>
      </c>
      <c r="C10" s="3">
        <f>SUM(C6:C9)</f>
        <v>60097</v>
      </c>
      <c r="D10" s="3">
        <f>SUM(D6:D9)</f>
        <v>60693</v>
      </c>
      <c r="E10" s="63">
        <f>(D10-C10)/C10</f>
        <v>9.91730036441087E-3</v>
      </c>
      <c r="F10" s="3">
        <f>SUM(F6:F9)</f>
        <v>57632</v>
      </c>
      <c r="G10" s="3">
        <f>SUM(G6:G9)</f>
        <v>54614</v>
      </c>
      <c r="H10" s="63">
        <f>(G10-F10)/F10</f>
        <v>-5.2366740699611329E-2</v>
      </c>
      <c r="I10" s="3">
        <f>SUM(I6:I9)</f>
        <v>63892</v>
      </c>
      <c r="J10" s="3">
        <f>SUM(J6:J9)</f>
        <v>33785</v>
      </c>
      <c r="K10" s="63">
        <f>(J10-I10)/I10</f>
        <v>-0.47121705377825079</v>
      </c>
      <c r="L10" s="23">
        <f>SUM(L6:L9)</f>
        <v>61644</v>
      </c>
      <c r="M10" s="3">
        <f>SUM(M6:M9)</f>
        <v>7180</v>
      </c>
      <c r="N10" s="63">
        <f>(M10-L10)/L10</f>
        <v>-0.88352475504509764</v>
      </c>
      <c r="O10" s="3">
        <f>SUM(O6:O9)</f>
        <v>59892</v>
      </c>
      <c r="P10" s="3">
        <f>SUM(P6:P9)</f>
        <v>41038</v>
      </c>
      <c r="Q10" s="63">
        <f>(P10-O10)/O10</f>
        <v>-0.31479997328524678</v>
      </c>
      <c r="R10" s="3">
        <f>SUM(R6:R9)</f>
        <v>59117</v>
      </c>
      <c r="S10" s="3">
        <f>SUM(S6:S9)</f>
        <v>57685</v>
      </c>
      <c r="T10" s="63">
        <f>(S10-R10)/R10</f>
        <v>-2.4223150701151951E-2</v>
      </c>
      <c r="U10" s="3">
        <f>SUM(U6:U9)</f>
        <v>52666</v>
      </c>
      <c r="V10" s="3">
        <f>SUM(V6:V9)</f>
        <v>52003</v>
      </c>
      <c r="W10" s="63">
        <f>(V10-U10)/U10</f>
        <v>-1.2588766946417043E-2</v>
      </c>
      <c r="X10" s="3">
        <f>SUM(X6:X9)</f>
        <v>55128</v>
      </c>
      <c r="Y10" s="3">
        <f>SUM(Y6:Y9)</f>
        <v>43158</v>
      </c>
      <c r="Z10" s="63">
        <f>(Y10-X10)/X10</f>
        <v>-0.21713104048759252</v>
      </c>
      <c r="AA10" s="3">
        <f>SUM(AA6:AA9)</f>
        <v>41648</v>
      </c>
      <c r="AB10" s="3">
        <f>SUM(AB6:AB9)</f>
        <v>42525</v>
      </c>
      <c r="AC10" s="63">
        <f>(AB10-AA10)/AA10</f>
        <v>2.105743373031118E-2</v>
      </c>
      <c r="AD10" s="3">
        <f>SUM(AD6:AD9)</f>
        <v>49658</v>
      </c>
      <c r="AE10" s="3">
        <f>SUM(AE6:AE9)</f>
        <v>45754</v>
      </c>
      <c r="AF10" s="63">
        <f>(AE10-AD10)/AD10</f>
        <v>-7.8617745378388171E-2</v>
      </c>
      <c r="AG10" s="3">
        <f>SUM(AG6:AG9)</f>
        <v>40778</v>
      </c>
      <c r="AH10" s="3">
        <f>SUM(AH6:AH9)</f>
        <v>27805</v>
      </c>
      <c r="AI10" s="63">
        <f>(AH10-AG10)/AG10</f>
        <v>-0.31813723085977735</v>
      </c>
      <c r="AJ10" s="3">
        <f>SUM(AJ6:AJ9)</f>
        <v>39848</v>
      </c>
      <c r="AK10" s="3">
        <f>SUM(AK6:AK9)</f>
        <v>36288</v>
      </c>
      <c r="AL10" s="63">
        <f>(AK10-AJ10)/AJ10</f>
        <v>-8.9339490062236501E-2</v>
      </c>
      <c r="AM10" s="3">
        <f t="shared" si="0"/>
        <v>642000</v>
      </c>
      <c r="AN10" s="3">
        <f t="shared" si="0"/>
        <v>502528</v>
      </c>
      <c r="AO10" s="15">
        <f>(AN10-AM10)/AM10</f>
        <v>-0.21724610591900312</v>
      </c>
      <c r="AQ10" s="25"/>
      <c r="AR10" s="24"/>
    </row>
    <row r="12" spans="2:44">
      <c r="B12" s="25" t="s">
        <v>55</v>
      </c>
      <c r="C12" s="86" t="s">
        <v>121</v>
      </c>
      <c r="X12" s="64"/>
      <c r="Y12" s="64"/>
      <c r="Z12" s="64"/>
    </row>
    <row r="13" spans="2:44">
      <c r="W13" s="26"/>
      <c r="X13" s="64"/>
      <c r="Y13" s="64"/>
      <c r="Z13" s="64"/>
      <c r="AA13" s="26"/>
      <c r="AB13" s="26"/>
      <c r="AC13" s="26"/>
      <c r="AD13" s="26"/>
      <c r="AE13" s="26"/>
      <c r="AF13" s="26"/>
      <c r="AG13" s="26"/>
      <c r="AH13" s="26"/>
      <c r="AI13" s="26"/>
      <c r="AM13" s="184"/>
    </row>
    <row r="14" spans="2:44">
      <c r="B14" s="26"/>
      <c r="C14" s="26"/>
      <c r="D14" s="26"/>
      <c r="E14" s="26"/>
      <c r="F14" s="26"/>
      <c r="X14" s="64"/>
      <c r="Y14" s="64"/>
      <c r="Z14" s="64"/>
    </row>
    <row r="15" spans="2:44">
      <c r="W15" s="27"/>
      <c r="X15" s="64"/>
      <c r="Y15" s="64"/>
      <c r="Z15" s="64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2:44">
      <c r="C16" s="27"/>
      <c r="D16" s="27"/>
      <c r="E16" s="27"/>
      <c r="F16" s="27"/>
      <c r="G16" s="27"/>
      <c r="W16" s="27"/>
      <c r="X16" s="64"/>
      <c r="Y16" s="64"/>
      <c r="Z16" s="64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3:35">
      <c r="C17" s="27"/>
      <c r="D17" s="27"/>
      <c r="E17" s="27"/>
      <c r="F17" s="27"/>
      <c r="G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3:35">
      <c r="C18" s="27"/>
      <c r="D18" s="27"/>
      <c r="E18" s="27"/>
      <c r="F18" s="27"/>
      <c r="G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3:35">
      <c r="C19" s="27"/>
      <c r="D19" s="27"/>
      <c r="E19" s="27"/>
      <c r="F19" s="27"/>
      <c r="G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3:35">
      <c r="C20" s="27"/>
      <c r="D20" s="27"/>
      <c r="E20" s="27"/>
      <c r="F20" s="27"/>
      <c r="G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3:35">
      <c r="C21" s="27"/>
      <c r="D21" s="27"/>
      <c r="E21" s="27"/>
      <c r="F21" s="27"/>
      <c r="G21" s="27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hyperlinks>
    <hyperlink ref="C12" r:id="rId1" xr:uid="{66F3C9D7-5938-45C2-B17A-0C87D8C0F9BB}"/>
  </hyperlinks>
  <pageMargins left="0.7" right="0.7" top="0.78740157499999996" bottom="0.78740157499999996" header="0.3" footer="0.3"/>
  <pageSetup paperSize="9" orientation="portrait" verticalDpi="0" r:id="rId2"/>
  <ignoredErrors>
    <ignoredError sqref="C10:D10 L10:M10 R10:S10 U10:V10 X10:Y10 AA10:AB10 AD10:AE10 AG10:AH10 AJ10:AK10" formulaRange="1"/>
    <ignoredError sqref="E10 H10 N10 Q10 T10 W10 AC10 AF10 AI10" formula="1"/>
    <ignoredError sqref="F10:G10 I10:K10 O10:P10" formula="1" formulaRange="1"/>
    <ignoredError sqref="Z7:Z9 AC8 AF7:AF9 AI7:AI9" evalError="1"/>
    <ignoredError sqref="Z10" evalError="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B7F5F-702E-4D63-90A9-70741E257338}">
  <dimension ref="A1:AR25"/>
  <sheetViews>
    <sheetView topLeftCell="B1" zoomScaleNormal="100" workbookViewId="0">
      <pane xSplit="1" topLeftCell="AE1" activePane="topRight" state="frozen"/>
      <selection activeCell="B1" sqref="B1"/>
      <selection pane="topRight" activeCell="AM13" sqref="AM13"/>
    </sheetView>
  </sheetViews>
  <sheetFormatPr baseColWidth="10" defaultColWidth="11.42578125" defaultRowHeight="15"/>
  <cols>
    <col min="1" max="1" width="57" style="25" hidden="1" customWidth="1"/>
    <col min="2" max="2" width="27.28515625" style="25" customWidth="1"/>
    <col min="3" max="3" width="7.5703125" style="25" bestFit="1" customWidth="1"/>
    <col min="4" max="4" width="8" style="25" bestFit="1" customWidth="1"/>
    <col min="5" max="5" width="10.140625" style="38" customWidth="1"/>
    <col min="6" max="7" width="8" style="25" bestFit="1" customWidth="1"/>
    <col min="8" max="8" width="10.5703125" style="38" customWidth="1"/>
    <col min="9" max="10" width="8" style="25" bestFit="1" customWidth="1"/>
    <col min="11" max="11" width="10" style="38" customWidth="1"/>
    <col min="12" max="12" width="9.140625" style="25" customWidth="1"/>
    <col min="13" max="13" width="7.5703125" style="25" bestFit="1" customWidth="1"/>
    <col min="14" max="14" width="10.7109375" style="38" bestFit="1" customWidth="1"/>
    <col min="15" max="15" width="8" style="25" bestFit="1" customWidth="1"/>
    <col min="16" max="16" width="7.5703125" style="25" bestFit="1" customWidth="1"/>
    <col min="17" max="17" width="10.28515625" style="38" customWidth="1"/>
    <col min="18" max="18" width="10" style="25" customWidth="1"/>
    <col min="19" max="19" width="7.5703125" style="25" bestFit="1" customWidth="1"/>
    <col min="20" max="20" width="10.7109375" style="38" bestFit="1" customWidth="1"/>
    <col min="21" max="22" width="11.42578125" style="25"/>
    <col min="23" max="23" width="10.7109375" style="38" bestFit="1" customWidth="1"/>
    <col min="24" max="25" width="11.42578125" style="25"/>
    <col min="26" max="26" width="10.7109375" style="38" customWidth="1"/>
    <col min="27" max="28" width="11.42578125" style="25"/>
    <col min="29" max="29" width="10.7109375" style="38" bestFit="1" customWidth="1"/>
    <col min="30" max="31" width="11.42578125" style="25"/>
    <col min="32" max="32" width="10.7109375" style="38" bestFit="1" customWidth="1"/>
    <col min="33" max="34" width="11.42578125" style="25"/>
    <col min="35" max="35" width="10.7109375" style="38" bestFit="1" customWidth="1"/>
    <col min="36" max="37" width="11.42578125" style="25"/>
    <col min="38" max="38" width="10.7109375" style="38" bestFit="1" customWidth="1"/>
    <col min="39" max="16384" width="11.42578125" style="25"/>
  </cols>
  <sheetData>
    <row r="1" spans="2:44">
      <c r="B1" s="10" t="s">
        <v>40</v>
      </c>
    </row>
    <row r="2" spans="2:44">
      <c r="S2" s="27"/>
    </row>
    <row r="4" spans="2:44" ht="45">
      <c r="B4" s="11"/>
      <c r="C4" s="233" t="s">
        <v>8</v>
      </c>
      <c r="D4" s="233"/>
      <c r="E4" s="17" t="s">
        <v>30</v>
      </c>
      <c r="F4" s="233" t="s">
        <v>9</v>
      </c>
      <c r="G4" s="233"/>
      <c r="H4" s="17" t="s">
        <v>30</v>
      </c>
      <c r="I4" s="233" t="s">
        <v>10</v>
      </c>
      <c r="J4" s="233"/>
      <c r="K4" s="17" t="s">
        <v>30</v>
      </c>
      <c r="L4" s="233" t="s">
        <v>11</v>
      </c>
      <c r="M4" s="233"/>
      <c r="N4" s="17" t="s">
        <v>30</v>
      </c>
      <c r="O4" s="233" t="s">
        <v>0</v>
      </c>
      <c r="P4" s="233"/>
      <c r="Q4" s="17" t="s">
        <v>30</v>
      </c>
      <c r="R4" s="233" t="s">
        <v>1</v>
      </c>
      <c r="S4" s="233"/>
      <c r="T4" s="17" t="s">
        <v>30</v>
      </c>
      <c r="U4" s="233" t="s">
        <v>2</v>
      </c>
      <c r="V4" s="233"/>
      <c r="W4" s="17" t="s">
        <v>30</v>
      </c>
      <c r="X4" s="233" t="s">
        <v>12</v>
      </c>
      <c r="Y4" s="233"/>
      <c r="Z4" s="17" t="s">
        <v>30</v>
      </c>
      <c r="AA4" s="233" t="s">
        <v>13</v>
      </c>
      <c r="AB4" s="233"/>
      <c r="AC4" s="17" t="s">
        <v>30</v>
      </c>
      <c r="AD4" s="233" t="s">
        <v>14</v>
      </c>
      <c r="AE4" s="233"/>
      <c r="AF4" s="17" t="s">
        <v>30</v>
      </c>
      <c r="AG4" s="233" t="s">
        <v>15</v>
      </c>
      <c r="AH4" s="233"/>
      <c r="AI4" s="17" t="s">
        <v>30</v>
      </c>
      <c r="AJ4" s="233" t="s">
        <v>16</v>
      </c>
      <c r="AK4" s="233"/>
      <c r="AL4" s="17" t="s">
        <v>30</v>
      </c>
      <c r="AM4" s="231" t="s">
        <v>29</v>
      </c>
      <c r="AN4" s="232"/>
      <c r="AO4" s="44" t="s">
        <v>28</v>
      </c>
    </row>
    <row r="5" spans="2:44">
      <c r="B5" s="11"/>
      <c r="C5" s="12">
        <v>2019</v>
      </c>
      <c r="D5" s="12">
        <v>2020</v>
      </c>
      <c r="E5" s="12" t="s">
        <v>34</v>
      </c>
      <c r="F5" s="12">
        <v>2019</v>
      </c>
      <c r="G5" s="12">
        <v>2020</v>
      </c>
      <c r="H5" s="12" t="s">
        <v>34</v>
      </c>
      <c r="I5" s="12">
        <v>2019</v>
      </c>
      <c r="J5" s="12">
        <v>2020</v>
      </c>
      <c r="K5" s="12" t="s">
        <v>34</v>
      </c>
      <c r="L5" s="12">
        <v>2019</v>
      </c>
      <c r="M5" s="12">
        <v>2020</v>
      </c>
      <c r="N5" s="12" t="s">
        <v>34</v>
      </c>
      <c r="O5" s="12">
        <v>2019</v>
      </c>
      <c r="P5" s="12">
        <v>2020</v>
      </c>
      <c r="Q5" s="12" t="s">
        <v>34</v>
      </c>
      <c r="R5" s="12">
        <v>2019</v>
      </c>
      <c r="S5" s="12">
        <v>2020</v>
      </c>
      <c r="T5" s="12" t="s">
        <v>34</v>
      </c>
      <c r="U5" s="12">
        <v>2019</v>
      </c>
      <c r="V5" s="12">
        <v>2020</v>
      </c>
      <c r="W5" s="12" t="s">
        <v>34</v>
      </c>
      <c r="X5" s="12">
        <v>2019</v>
      </c>
      <c r="Y5" s="12">
        <v>2020</v>
      </c>
      <c r="Z5" s="12" t="s">
        <v>34</v>
      </c>
      <c r="AA5" s="12">
        <v>2019</v>
      </c>
      <c r="AB5" s="12">
        <v>2020</v>
      </c>
      <c r="AC5" s="12" t="s">
        <v>34</v>
      </c>
      <c r="AD5" s="12">
        <v>2019</v>
      </c>
      <c r="AE5" s="12">
        <v>2020</v>
      </c>
      <c r="AF5" s="12" t="s">
        <v>34</v>
      </c>
      <c r="AG5" s="12">
        <v>2019</v>
      </c>
      <c r="AH5" s="12">
        <v>2020</v>
      </c>
      <c r="AI5" s="12" t="s">
        <v>34</v>
      </c>
      <c r="AJ5" s="12">
        <v>2019</v>
      </c>
      <c r="AK5" s="12">
        <v>2020</v>
      </c>
      <c r="AL5" s="12" t="s">
        <v>34</v>
      </c>
      <c r="AM5" s="12">
        <v>2019</v>
      </c>
      <c r="AN5" s="12">
        <v>2020</v>
      </c>
      <c r="AO5" s="43"/>
      <c r="AQ5" s="64"/>
    </row>
    <row r="6" spans="2:44">
      <c r="B6" s="20" t="s">
        <v>101</v>
      </c>
      <c r="C6" s="40">
        <v>163793</v>
      </c>
      <c r="D6" s="40">
        <v>154581</v>
      </c>
      <c r="E6" s="118">
        <f>(D6-C6)/C6</f>
        <v>-5.6241719731612461E-2</v>
      </c>
      <c r="F6" s="40">
        <v>162538</v>
      </c>
      <c r="G6" s="40">
        <v>165150</v>
      </c>
      <c r="H6" s="118">
        <f>(G6-F6)/F6</f>
        <v>1.6070088225522645E-2</v>
      </c>
      <c r="I6" s="40">
        <v>170487</v>
      </c>
      <c r="J6" s="40">
        <v>131276</v>
      </c>
      <c r="K6" s="118">
        <f>(J6-I6)/I6</f>
        <v>-0.22999407579463538</v>
      </c>
      <c r="L6" s="40">
        <v>189097</v>
      </c>
      <c r="M6" s="40">
        <v>39501</v>
      </c>
      <c r="N6" s="118">
        <f>(M6-L6)/L6</f>
        <v>-0.79110720952738545</v>
      </c>
      <c r="O6" s="40">
        <v>198776</v>
      </c>
      <c r="P6" s="40">
        <v>44137</v>
      </c>
      <c r="Q6" s="118">
        <f>(P6-O6)/O6</f>
        <v>-0.77795609127862519</v>
      </c>
      <c r="R6" s="40">
        <v>181297</v>
      </c>
      <c r="S6" s="40">
        <v>102404</v>
      </c>
      <c r="T6" s="118">
        <f>(S6-R6)/R6</f>
        <v>-0.43515888293794158</v>
      </c>
      <c r="U6" s="40">
        <v>195854</v>
      </c>
      <c r="V6" s="66">
        <v>134956</v>
      </c>
      <c r="W6" s="118">
        <f>(V6-U6)/U6</f>
        <v>-0.31093569699878482</v>
      </c>
      <c r="X6" s="40">
        <v>195917</v>
      </c>
      <c r="Y6" s="66">
        <v>142057</v>
      </c>
      <c r="Z6" s="118">
        <f>(Y6-X6)/X6</f>
        <v>-0.27491233532567361</v>
      </c>
      <c r="AA6" s="40">
        <v>187818</v>
      </c>
      <c r="AB6" s="66">
        <v>161114</v>
      </c>
      <c r="AC6" s="118">
        <f>(AB6-AA6)/AA6</f>
        <v>-0.14218019572138985</v>
      </c>
      <c r="AD6" s="40">
        <v>204532</v>
      </c>
      <c r="AE6" s="66">
        <v>168508</v>
      </c>
      <c r="AF6" s="118">
        <f>(AE6-AD6)/AD6</f>
        <v>-0.17612891870220795</v>
      </c>
      <c r="AG6" s="40">
        <v>196770</v>
      </c>
      <c r="AH6" s="66">
        <v>177577</v>
      </c>
      <c r="AI6" s="118">
        <f>(AH6-AG6)/AG6</f>
        <v>-9.7540275448493169E-2</v>
      </c>
      <c r="AJ6" s="46">
        <v>215190</v>
      </c>
      <c r="AK6" s="66">
        <v>194681</v>
      </c>
      <c r="AL6" s="118">
        <f>(AK6-AJ6)/AJ6</f>
        <v>-9.5306473349133322E-2</v>
      </c>
      <c r="AM6" s="67">
        <f t="shared" ref="AM6:AN10" si="0">C6+F6+I6+L6+O6+R6+U6+X6+AA6+AD6+AG6+AJ6</f>
        <v>2262069</v>
      </c>
      <c r="AN6" s="67">
        <f t="shared" si="0"/>
        <v>1615942</v>
      </c>
      <c r="AO6" s="42">
        <f>(AN6-AM6)/AM6</f>
        <v>-0.28563540723116759</v>
      </c>
      <c r="AQ6" s="64"/>
    </row>
    <row r="7" spans="2:44">
      <c r="B7" s="20" t="s">
        <v>103</v>
      </c>
      <c r="C7" s="40">
        <v>27416</v>
      </c>
      <c r="D7" s="40">
        <v>30101</v>
      </c>
      <c r="E7" s="118">
        <f>(D7-C7)/C7</f>
        <v>9.793551210971696E-2</v>
      </c>
      <c r="F7" s="40">
        <v>27735</v>
      </c>
      <c r="G7" s="40">
        <v>28149</v>
      </c>
      <c r="H7" s="118">
        <f>(G7-F7)/F7</f>
        <v>1.4926987560843699E-2</v>
      </c>
      <c r="I7" s="40">
        <v>29487</v>
      </c>
      <c r="J7" s="40">
        <v>25028</v>
      </c>
      <c r="K7" s="118">
        <f>(J7-I7)/I7</f>
        <v>-0.15121918133414725</v>
      </c>
      <c r="L7" s="40">
        <v>32626</v>
      </c>
      <c r="M7" s="27">
        <v>11962</v>
      </c>
      <c r="N7" s="118">
        <f>(M7-L7)/L7</f>
        <v>-0.6333598970146509</v>
      </c>
      <c r="O7" s="40">
        <v>35823</v>
      </c>
      <c r="P7" s="40">
        <v>12568</v>
      </c>
      <c r="Q7" s="118">
        <f>(P7-O7)/O7</f>
        <v>-0.64916394495156748</v>
      </c>
      <c r="R7" s="40">
        <v>32698</v>
      </c>
      <c r="S7" s="40">
        <v>20391</v>
      </c>
      <c r="T7" s="118">
        <f>(S7-R7)/R7</f>
        <v>-0.3763838766897058</v>
      </c>
      <c r="U7" s="40">
        <v>37007</v>
      </c>
      <c r="V7" s="66">
        <v>28468</v>
      </c>
      <c r="W7" s="118">
        <f>(V7-U7)/U7</f>
        <v>-0.2307401302456292</v>
      </c>
      <c r="X7" s="40">
        <v>35605</v>
      </c>
      <c r="Y7" s="66">
        <v>31765</v>
      </c>
      <c r="Z7" s="118">
        <f>(Y7-X7)/X7</f>
        <v>-0.10785002106445724</v>
      </c>
      <c r="AA7" s="40">
        <v>36196</v>
      </c>
      <c r="AB7" s="66">
        <v>38051</v>
      </c>
      <c r="AC7" s="118">
        <f>(AB7-AA7)/AA7</f>
        <v>5.1248756768703725E-2</v>
      </c>
      <c r="AD7" s="40">
        <v>37254</v>
      </c>
      <c r="AE7" s="66">
        <v>37191</v>
      </c>
      <c r="AF7" s="118">
        <f>(AE7-AD7)/AD7</f>
        <v>-1.6910935738444193E-3</v>
      </c>
      <c r="AG7" s="40">
        <v>34820</v>
      </c>
      <c r="AH7" s="66">
        <v>36909</v>
      </c>
      <c r="AI7" s="118">
        <f>(AH7-AG7)/AG7</f>
        <v>5.9994256174612293E-2</v>
      </c>
      <c r="AJ7" s="46">
        <v>36847</v>
      </c>
      <c r="AK7" s="66">
        <v>38303</v>
      </c>
      <c r="AL7" s="118">
        <f>(AK7-AJ7)/AJ7</f>
        <v>3.9514750183189951E-2</v>
      </c>
      <c r="AM7" s="67">
        <f t="shared" si="0"/>
        <v>403514</v>
      </c>
      <c r="AN7" s="67">
        <f t="shared" si="0"/>
        <v>338886</v>
      </c>
      <c r="AO7" s="42">
        <f>(AN7-AM7)/AM7</f>
        <v>-0.16016296832327998</v>
      </c>
      <c r="AQ7" s="64"/>
    </row>
    <row r="8" spans="2:44">
      <c r="B8" s="20" t="s">
        <v>105</v>
      </c>
      <c r="C8" s="40">
        <v>6987</v>
      </c>
      <c r="D8" s="40">
        <v>7285</v>
      </c>
      <c r="E8" s="118">
        <f>(D8-C8)/C8</f>
        <v>4.2650636897094606E-2</v>
      </c>
      <c r="F8" s="40">
        <v>6876</v>
      </c>
      <c r="G8" s="40">
        <v>6412</v>
      </c>
      <c r="H8" s="118">
        <f>(G8-F8)/F8</f>
        <v>-6.7481093659104124E-2</v>
      </c>
      <c r="I8" s="40">
        <v>7601</v>
      </c>
      <c r="J8" s="40">
        <v>6438</v>
      </c>
      <c r="K8" s="118">
        <f>(J8-I8)/I8</f>
        <v>-0.15300618339692146</v>
      </c>
      <c r="L8" s="40">
        <v>8502</v>
      </c>
      <c r="M8" s="40">
        <v>3952</v>
      </c>
      <c r="N8" s="118">
        <f>(M8-L8)/L8</f>
        <v>-0.53516819571865448</v>
      </c>
      <c r="O8" s="40">
        <v>9128</v>
      </c>
      <c r="P8" s="40">
        <v>4819</v>
      </c>
      <c r="Q8" s="118">
        <f>(P8-O8)/O8</f>
        <v>-0.47206397896581948</v>
      </c>
      <c r="R8" s="40">
        <v>7688</v>
      </c>
      <c r="S8" s="40">
        <v>8954</v>
      </c>
      <c r="T8" s="118">
        <f>(S8-R8)/R8</f>
        <v>0.16467221644120708</v>
      </c>
      <c r="U8" s="40">
        <v>8942</v>
      </c>
      <c r="V8" s="66">
        <v>9540</v>
      </c>
      <c r="W8" s="118">
        <f>(V8-U8)/U8</f>
        <v>6.6875419369268621E-2</v>
      </c>
      <c r="X8" s="40">
        <v>9433</v>
      </c>
      <c r="Y8" s="66">
        <v>8076</v>
      </c>
      <c r="Z8" s="118">
        <f>(Y8-X8)/X8</f>
        <v>-0.14385667338068484</v>
      </c>
      <c r="AA8" s="40">
        <v>9098</v>
      </c>
      <c r="AB8" s="66">
        <v>7312</v>
      </c>
      <c r="AC8" s="118">
        <f>(AB8-AA8)/AA8</f>
        <v>-0.19630688063310617</v>
      </c>
      <c r="AD8" s="40">
        <v>9418</v>
      </c>
      <c r="AE8" s="66">
        <v>7909</v>
      </c>
      <c r="AF8" s="118">
        <f>(AE8-AD8)/AD8</f>
        <v>-0.16022510087067318</v>
      </c>
      <c r="AG8" s="40">
        <v>9064</v>
      </c>
      <c r="AH8" s="66">
        <v>9143</v>
      </c>
      <c r="AI8" s="118">
        <f>(AH8-AG8)/AG8</f>
        <v>8.7157987643424542E-3</v>
      </c>
      <c r="AJ8" s="46">
        <v>8598</v>
      </c>
      <c r="AK8" s="66">
        <v>9838</v>
      </c>
      <c r="AL8" s="118">
        <f>(AK8-AJ8)/AJ8</f>
        <v>0.14421958595022097</v>
      </c>
      <c r="AM8" s="67">
        <f t="shared" si="0"/>
        <v>101335</v>
      </c>
      <c r="AN8" s="67">
        <f t="shared" si="0"/>
        <v>89678</v>
      </c>
      <c r="AO8" s="42">
        <f>(AN8-AM8)/AM8</f>
        <v>-0.11503429219914146</v>
      </c>
      <c r="AQ8" s="64"/>
    </row>
    <row r="9" spans="2:44">
      <c r="B9" s="20" t="s">
        <v>107</v>
      </c>
      <c r="C9" s="40">
        <v>1598</v>
      </c>
      <c r="D9" s="40">
        <v>1492</v>
      </c>
      <c r="E9" s="118">
        <f>(D9-C9)/C9</f>
        <v>-6.6332916145181484E-2</v>
      </c>
      <c r="F9" s="40">
        <v>1492</v>
      </c>
      <c r="G9" s="40">
        <v>1286</v>
      </c>
      <c r="H9" s="118">
        <f>(G9-F9)/F9</f>
        <v>-0.13806970509383379</v>
      </c>
      <c r="I9" s="40">
        <v>1590</v>
      </c>
      <c r="J9" s="40">
        <v>883</v>
      </c>
      <c r="K9" s="118">
        <f>(J9-I9)/I9</f>
        <v>-0.44465408805031448</v>
      </c>
      <c r="L9" s="40">
        <v>1711</v>
      </c>
      <c r="M9" s="40">
        <v>320</v>
      </c>
      <c r="N9" s="118">
        <f>(M9-L9)/L9</f>
        <v>-0.81297486849795442</v>
      </c>
      <c r="O9" s="40">
        <v>1713</v>
      </c>
      <c r="P9" s="40">
        <v>666</v>
      </c>
      <c r="Q9" s="118">
        <f>(P9-O9)/O9</f>
        <v>-0.6112084063047285</v>
      </c>
      <c r="R9" s="40">
        <v>1515</v>
      </c>
      <c r="S9" s="40">
        <v>1069</v>
      </c>
      <c r="T9" s="118">
        <f>(S9-R9)/R9</f>
        <v>-0.29438943894389441</v>
      </c>
      <c r="U9" s="11">
        <v>1811</v>
      </c>
      <c r="V9" s="66">
        <v>1523</v>
      </c>
      <c r="W9" s="118">
        <f>(V9-U9)/U9</f>
        <v>-0.15902816123688571</v>
      </c>
      <c r="X9" s="40">
        <v>2030</v>
      </c>
      <c r="Y9" s="66">
        <v>1497</v>
      </c>
      <c r="Z9" s="118">
        <f>(Y9-X9)/X9</f>
        <v>-0.2625615763546798</v>
      </c>
      <c r="AA9" s="27">
        <v>1736</v>
      </c>
      <c r="AB9" s="66">
        <v>1233</v>
      </c>
      <c r="AC9" s="118">
        <f>(AB9-AA9)/AA9</f>
        <v>-0.28974654377880182</v>
      </c>
      <c r="AD9" s="27">
        <v>2157</v>
      </c>
      <c r="AE9" s="66">
        <v>1436</v>
      </c>
      <c r="AF9" s="118">
        <f>(AE9-AD9)/AD9</f>
        <v>-0.33426054705609642</v>
      </c>
      <c r="AG9" s="27">
        <v>1656</v>
      </c>
      <c r="AH9" s="66">
        <v>1381</v>
      </c>
      <c r="AI9" s="118">
        <f>(AH9-AG9)/AG9</f>
        <v>-0.16606280193236714</v>
      </c>
      <c r="AJ9" s="46">
        <v>1923</v>
      </c>
      <c r="AK9" s="66">
        <v>1145</v>
      </c>
      <c r="AL9" s="118">
        <f>(AK9-AJ9)/AJ9</f>
        <v>-0.4045761830473219</v>
      </c>
      <c r="AM9" s="67">
        <f t="shared" si="0"/>
        <v>20932</v>
      </c>
      <c r="AN9" s="67">
        <f t="shared" si="0"/>
        <v>13931</v>
      </c>
      <c r="AO9" s="42">
        <f>(AN9-AM9)/AM9</f>
        <v>-0.33446397859736288</v>
      </c>
      <c r="AQ9" s="64"/>
    </row>
    <row r="10" spans="2:44" s="10" customFormat="1">
      <c r="B10" s="47" t="s">
        <v>7</v>
      </c>
      <c r="C10" s="16">
        <f>SUM(C6:C9)</f>
        <v>199794</v>
      </c>
      <c r="D10" s="16">
        <f>SUM(D6:D9)</f>
        <v>193459</v>
      </c>
      <c r="E10" s="63">
        <f>(D10-C10)/C10</f>
        <v>-3.1707658888655316E-2</v>
      </c>
      <c r="F10" s="16">
        <f>SUM(F6:F9)</f>
        <v>198641</v>
      </c>
      <c r="G10" s="16">
        <f>SUM(G6:G9)</f>
        <v>200997</v>
      </c>
      <c r="H10" s="63">
        <f>(G10-F10)/F10</f>
        <v>1.1860592727583932E-2</v>
      </c>
      <c r="I10" s="16">
        <f>SUM(I6:I9)</f>
        <v>209165</v>
      </c>
      <c r="J10" s="16">
        <f>SUM(J6:J9)</f>
        <v>163625</v>
      </c>
      <c r="K10" s="63">
        <f>(J10-I10)/I10</f>
        <v>-0.21772285038127795</v>
      </c>
      <c r="L10" s="16">
        <f>SUM(L6:L9)</f>
        <v>231936</v>
      </c>
      <c r="M10" s="16">
        <f>SUM(M6:M9)</f>
        <v>55735</v>
      </c>
      <c r="N10" s="63">
        <f>(M10-L10)/L10</f>
        <v>-0.7596966404525386</v>
      </c>
      <c r="O10" s="16">
        <f>SUM(O6:O9)</f>
        <v>245440</v>
      </c>
      <c r="P10" s="16">
        <f>SUM(P6:P9)</f>
        <v>62190</v>
      </c>
      <c r="Q10" s="63">
        <f>(P10-O10)/O10</f>
        <v>-0.74661831812255541</v>
      </c>
      <c r="R10" s="16">
        <f>SUM(R6:R9)</f>
        <v>223198</v>
      </c>
      <c r="S10" s="16">
        <f>SUM(S6:S9)</f>
        <v>132818</v>
      </c>
      <c r="T10" s="63">
        <f>(S10-R10)/R10</f>
        <v>-0.40493194383462217</v>
      </c>
      <c r="U10" s="67">
        <f>SUM(U6:U9)</f>
        <v>243614</v>
      </c>
      <c r="V10" s="67">
        <f>SUM(V6:V9)</f>
        <v>174487</v>
      </c>
      <c r="W10" s="63">
        <f>(V10-U10)/U10</f>
        <v>-0.28375627016509725</v>
      </c>
      <c r="X10" s="67">
        <f>SUM(X6:X9)</f>
        <v>242985</v>
      </c>
      <c r="Y10" s="67">
        <f>SUM(Y6:Y9)</f>
        <v>183395</v>
      </c>
      <c r="Z10" s="63">
        <f>(Y10-X10)/X10</f>
        <v>-0.24524147581126407</v>
      </c>
      <c r="AA10" s="67">
        <f>SUM(AA6:AA9)</f>
        <v>234848</v>
      </c>
      <c r="AB10" s="67">
        <f>SUM(AB6:AB9)</f>
        <v>207710</v>
      </c>
      <c r="AC10" s="63">
        <f>(AB10-AA10)/AA10</f>
        <v>-0.11555559340509607</v>
      </c>
      <c r="AD10" s="67">
        <f>SUM(AD6:AD9)</f>
        <v>253361</v>
      </c>
      <c r="AE10" s="67">
        <f>SUM(AE6:AE9)</f>
        <v>215044</v>
      </c>
      <c r="AF10" s="63">
        <f>(AE10-AD10)/AD10</f>
        <v>-0.15123479935743858</v>
      </c>
      <c r="AG10" s="67">
        <f>SUM(AG6:AG9)</f>
        <v>242310</v>
      </c>
      <c r="AH10" s="67">
        <f>SUM(AH6:AH9)</f>
        <v>225010</v>
      </c>
      <c r="AI10" s="63">
        <f>(AH10-AG10)/AG10</f>
        <v>-7.1396145433535549E-2</v>
      </c>
      <c r="AJ10" s="187">
        <f>SUM(AJ6:AJ9)</f>
        <v>262558</v>
      </c>
      <c r="AK10" s="187">
        <f>SUM(AK6:AK9)</f>
        <v>243967</v>
      </c>
      <c r="AL10" s="63">
        <f>(AK10-AJ10)/AJ10</f>
        <v>-7.080721212075046E-2</v>
      </c>
      <c r="AM10" s="16">
        <f t="shared" si="0"/>
        <v>2787850</v>
      </c>
      <c r="AN10" s="16">
        <f t="shared" si="0"/>
        <v>2058437</v>
      </c>
      <c r="AO10" s="39">
        <f>(AN10-AM10)/AM10</f>
        <v>-0.26163997345624762</v>
      </c>
      <c r="AQ10" s="64"/>
      <c r="AR10" s="24"/>
    </row>
    <row r="11" spans="2:44">
      <c r="AQ11" s="64"/>
    </row>
    <row r="12" spans="2:44">
      <c r="B12" s="25" t="s">
        <v>122</v>
      </c>
      <c r="C12" s="25" t="s">
        <v>123</v>
      </c>
      <c r="I12" s="64"/>
      <c r="AN12" s="64"/>
      <c r="AQ12" s="64"/>
    </row>
    <row r="13" spans="2:44">
      <c r="M13" s="24"/>
      <c r="N13" s="27"/>
      <c r="O13" s="27"/>
      <c r="P13" s="24"/>
      <c r="Q13" s="27"/>
      <c r="R13" s="27"/>
      <c r="S13" s="24"/>
      <c r="T13" s="27"/>
      <c r="U13" s="27"/>
      <c r="V13" s="24"/>
      <c r="W13" s="25"/>
      <c r="Y13" s="24"/>
      <c r="Z13" s="25"/>
      <c r="AM13" s="184"/>
      <c r="AN13" s="64"/>
      <c r="AQ13" s="64"/>
    </row>
    <row r="14" spans="2:44">
      <c r="B14" s="117" t="s">
        <v>102</v>
      </c>
      <c r="C14" s="26"/>
      <c r="D14" s="26"/>
      <c r="E14" s="48"/>
      <c r="F14" s="26"/>
      <c r="G14" s="26"/>
      <c r="H14" s="48"/>
      <c r="K14" s="48"/>
      <c r="M14" s="24"/>
      <c r="N14" s="27"/>
      <c r="O14" s="27"/>
      <c r="P14" s="24"/>
      <c r="Q14" s="27"/>
      <c r="R14" s="27"/>
      <c r="S14" s="24"/>
      <c r="T14" s="27"/>
      <c r="U14" s="27"/>
      <c r="V14" s="24"/>
      <c r="W14" s="25"/>
      <c r="Y14" s="24"/>
      <c r="Z14" s="25"/>
      <c r="AL14" s="48"/>
      <c r="AN14" s="64"/>
    </row>
    <row r="15" spans="2:44">
      <c r="B15" s="117" t="s">
        <v>104</v>
      </c>
      <c r="M15" s="24"/>
      <c r="N15" s="27"/>
      <c r="O15" s="27"/>
      <c r="P15" s="24"/>
      <c r="Q15" s="27"/>
      <c r="R15" s="27"/>
      <c r="S15" s="24"/>
      <c r="T15" s="27"/>
      <c r="U15" s="27"/>
      <c r="V15" s="24"/>
      <c r="W15" s="25"/>
      <c r="Y15" s="24"/>
      <c r="Z15" s="25"/>
      <c r="AN15" s="64"/>
    </row>
    <row r="16" spans="2:44">
      <c r="B16" s="117" t="s">
        <v>106</v>
      </c>
      <c r="C16" s="27"/>
      <c r="D16" s="27"/>
      <c r="E16" s="24"/>
      <c r="F16" s="27"/>
      <c r="G16" s="27"/>
      <c r="H16" s="24"/>
      <c r="K16" s="24"/>
      <c r="M16" s="24"/>
      <c r="N16" s="27"/>
      <c r="O16" s="27"/>
      <c r="P16" s="24"/>
      <c r="Q16" s="27"/>
      <c r="R16" s="27"/>
      <c r="S16" s="24"/>
      <c r="T16" s="27"/>
      <c r="U16" s="27"/>
      <c r="V16" s="24"/>
      <c r="W16" s="25"/>
      <c r="Y16" s="24"/>
      <c r="Z16" s="25"/>
      <c r="AL16" s="24"/>
      <c r="AN16" s="64"/>
    </row>
    <row r="17" spans="2:40">
      <c r="B17" s="117" t="s">
        <v>108</v>
      </c>
      <c r="C17" s="27"/>
      <c r="D17" s="27"/>
      <c r="E17" s="24"/>
      <c r="F17" s="27"/>
      <c r="G17" s="27"/>
      <c r="H17" s="24"/>
      <c r="K17" s="24"/>
      <c r="M17" s="24"/>
      <c r="N17" s="25"/>
      <c r="P17" s="24"/>
      <c r="Q17" s="25"/>
      <c r="S17" s="24"/>
      <c r="T17" s="25"/>
      <c r="V17" s="24"/>
      <c r="W17" s="25"/>
      <c r="Y17" s="24"/>
      <c r="Z17" s="25"/>
      <c r="AN17" s="64"/>
    </row>
    <row r="18" spans="2:40">
      <c r="C18" s="27"/>
      <c r="D18" s="27"/>
      <c r="E18" s="24"/>
      <c r="F18" s="27"/>
      <c r="G18" s="27"/>
      <c r="H18" s="24"/>
      <c r="K18" s="24"/>
      <c r="M18" s="38"/>
      <c r="N18" s="25"/>
      <c r="P18" s="38"/>
      <c r="Q18" s="25"/>
      <c r="S18" s="38"/>
      <c r="T18" s="25"/>
      <c r="V18" s="38"/>
      <c r="W18" s="25"/>
      <c r="Y18" s="38"/>
      <c r="Z18" s="25"/>
      <c r="AN18" s="64"/>
    </row>
    <row r="19" spans="2:40">
      <c r="C19" s="27"/>
      <c r="D19" s="27"/>
      <c r="E19" s="24"/>
      <c r="F19" s="27"/>
      <c r="G19" s="27"/>
      <c r="H19" s="24"/>
      <c r="K19" s="24"/>
      <c r="M19" s="38"/>
      <c r="N19" s="25"/>
      <c r="P19" s="38"/>
      <c r="Q19" s="25"/>
      <c r="S19" s="38"/>
      <c r="T19" s="25"/>
      <c r="V19" s="38"/>
      <c r="W19" s="25"/>
      <c r="Y19" s="38"/>
      <c r="Z19" s="25"/>
      <c r="AN19" s="64"/>
    </row>
    <row r="20" spans="2:40">
      <c r="C20" s="27"/>
      <c r="D20" s="27"/>
      <c r="E20" s="24"/>
      <c r="F20" s="27"/>
      <c r="G20" s="27"/>
      <c r="H20" s="24"/>
      <c r="K20" s="24"/>
      <c r="M20" s="38"/>
      <c r="N20" s="25"/>
      <c r="P20" s="38"/>
      <c r="Q20" s="25"/>
      <c r="S20" s="38"/>
      <c r="T20" s="25"/>
      <c r="V20" s="38"/>
      <c r="W20" s="25"/>
      <c r="Y20" s="38"/>
      <c r="Z20" s="25"/>
      <c r="AN20" s="64"/>
    </row>
    <row r="21" spans="2:40">
      <c r="C21" s="27"/>
      <c r="D21" s="27"/>
      <c r="E21" s="24"/>
      <c r="F21" s="27"/>
      <c r="G21" s="27"/>
      <c r="H21" s="24"/>
      <c r="K21" s="24"/>
      <c r="M21" s="38"/>
      <c r="N21" s="25"/>
      <c r="P21" s="38"/>
      <c r="Q21" s="25"/>
      <c r="S21" s="38"/>
      <c r="T21" s="25"/>
      <c r="V21" s="38"/>
      <c r="W21" s="25"/>
      <c r="Y21" s="38"/>
      <c r="Z21" s="25"/>
      <c r="AN21" s="64"/>
    </row>
    <row r="22" spans="2:40">
      <c r="M22" s="38"/>
      <c r="N22" s="25"/>
      <c r="P22" s="38"/>
      <c r="Q22" s="25"/>
      <c r="S22" s="38"/>
      <c r="T22" s="25"/>
      <c r="V22" s="38"/>
      <c r="W22" s="25"/>
      <c r="Y22" s="38"/>
      <c r="Z22" s="25"/>
      <c r="AN22" s="64"/>
    </row>
    <row r="23" spans="2:40">
      <c r="M23" s="38"/>
      <c r="N23" s="25"/>
      <c r="P23" s="38"/>
      <c r="Q23" s="25"/>
      <c r="S23" s="38"/>
      <c r="T23" s="25"/>
      <c r="V23" s="38"/>
      <c r="W23" s="25"/>
      <c r="Y23" s="38"/>
      <c r="Z23" s="25"/>
      <c r="AN23" s="64"/>
    </row>
    <row r="24" spans="2:40">
      <c r="M24" s="38"/>
      <c r="N24" s="25"/>
      <c r="P24" s="38"/>
      <c r="Q24" s="25"/>
      <c r="S24" s="38"/>
      <c r="T24" s="25"/>
      <c r="V24" s="38"/>
      <c r="W24" s="25"/>
      <c r="Y24" s="38"/>
      <c r="Z24" s="25"/>
    </row>
    <row r="25" spans="2:40">
      <c r="M25" s="38"/>
      <c r="N25" s="25"/>
      <c r="P25" s="38"/>
      <c r="Q25" s="25"/>
      <c r="S25" s="38"/>
      <c r="T25" s="25"/>
      <c r="V25" s="38"/>
      <c r="W25" s="25"/>
      <c r="Y25" s="38"/>
      <c r="Z25" s="25"/>
    </row>
  </sheetData>
  <mergeCells count="13">
    <mergeCell ref="AM4:AN4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pageMargins left="0.7" right="0.7" top="0.78740157499999996" bottom="0.78740157499999996" header="0.3" footer="0.3"/>
  <pageSetup paperSize="9" orientation="portrait" r:id="rId1"/>
  <ignoredErrors>
    <ignoredError sqref="C10:D10 U10:V10 R10:S10 X10:Y10 AA10:AB10 AD10:AE10 AG10:AH10 AJ10:AK10" formulaRange="1"/>
    <ignoredError sqref="E10 H10 K10 N10 Q10 T10 W10" formula="1"/>
    <ignoredError sqref="F10:G10 I10:J10 L10:M10 O10:P10" formula="1" formulaRange="1"/>
    <ignoredError sqref="Z7:Z9 Z6 AF9 AF6:AF8 AI6:AI9 AL6:AL10" evalError="1"/>
    <ignoredError sqref="Z10 AC10 AF10 AI10" evalError="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14B87-957B-4917-B45D-99AA3A5B1078}">
  <dimension ref="A1:AR21"/>
  <sheetViews>
    <sheetView topLeftCell="B1" zoomScaleNormal="100" workbookViewId="0">
      <pane xSplit="1" topLeftCell="AE1" activePane="topRight" state="frozen"/>
      <selection activeCell="B1" sqref="B1"/>
      <selection pane="topRight" activeCell="AM13" sqref="AM13"/>
    </sheetView>
  </sheetViews>
  <sheetFormatPr baseColWidth="10" defaultColWidth="11.42578125" defaultRowHeight="15"/>
  <cols>
    <col min="1" max="1" width="57" style="64" hidden="1" customWidth="1"/>
    <col min="2" max="2" width="19.28515625" style="64" customWidth="1"/>
    <col min="3" max="3" width="8.7109375" style="64" customWidth="1"/>
    <col min="4" max="4" width="9" style="64" customWidth="1"/>
    <col min="5" max="5" width="11.5703125" style="64" customWidth="1"/>
    <col min="6" max="6" width="9.140625" style="64" customWidth="1"/>
    <col min="7" max="7" width="10.140625" style="64" customWidth="1"/>
    <col min="8" max="8" width="10.85546875" style="64" customWidth="1"/>
    <col min="9" max="9" width="9.7109375" style="64" customWidth="1"/>
    <col min="10" max="10" width="9.42578125" style="64" customWidth="1"/>
    <col min="11" max="12" width="10" style="64" customWidth="1"/>
    <col min="13" max="13" width="9.7109375" style="64" customWidth="1"/>
    <col min="14" max="14" width="11.140625" style="64" customWidth="1"/>
    <col min="15" max="15" width="8.85546875" style="64" customWidth="1"/>
    <col min="16" max="16" width="10.42578125" style="64" customWidth="1"/>
    <col min="17" max="17" width="10.140625" style="64" bestFit="1" customWidth="1"/>
    <col min="18" max="18" width="10.42578125" style="64" customWidth="1"/>
    <col min="19" max="19" width="11.42578125" style="64" customWidth="1"/>
    <col min="20" max="20" width="11.42578125" style="64"/>
    <col min="21" max="21" width="10.42578125" style="64" customWidth="1"/>
    <col min="22" max="22" width="10.5703125" style="64" customWidth="1"/>
    <col min="23" max="16384" width="11.42578125" style="64"/>
  </cols>
  <sheetData>
    <row r="1" spans="2:44">
      <c r="B1" s="70" t="s">
        <v>62</v>
      </c>
    </row>
    <row r="2" spans="2:44">
      <c r="B2" s="87"/>
      <c r="S2" s="81"/>
    </row>
    <row r="4" spans="2:44" ht="45" customHeight="1">
      <c r="B4" s="65"/>
      <c r="C4" s="233" t="s">
        <v>8</v>
      </c>
      <c r="D4" s="233"/>
      <c r="E4" s="85" t="s">
        <v>30</v>
      </c>
      <c r="F4" s="233" t="s">
        <v>9</v>
      </c>
      <c r="G4" s="233"/>
      <c r="H4" s="83" t="s">
        <v>30</v>
      </c>
      <c r="I4" s="233" t="s">
        <v>10</v>
      </c>
      <c r="J4" s="233"/>
      <c r="K4" s="83" t="s">
        <v>30</v>
      </c>
      <c r="L4" s="233" t="s">
        <v>11</v>
      </c>
      <c r="M4" s="233"/>
      <c r="N4" s="82" t="s">
        <v>30</v>
      </c>
      <c r="O4" s="233" t="s">
        <v>0</v>
      </c>
      <c r="P4" s="233"/>
      <c r="Q4" s="83" t="s">
        <v>30</v>
      </c>
      <c r="R4" s="233" t="s">
        <v>1</v>
      </c>
      <c r="S4" s="233"/>
      <c r="T4" s="82" t="s">
        <v>30</v>
      </c>
      <c r="U4" s="231" t="s">
        <v>2</v>
      </c>
      <c r="V4" s="232"/>
      <c r="W4" s="82" t="s">
        <v>30</v>
      </c>
      <c r="X4" s="233" t="s">
        <v>12</v>
      </c>
      <c r="Y4" s="233"/>
      <c r="Z4" s="82" t="s">
        <v>30</v>
      </c>
      <c r="AA4" s="231" t="s">
        <v>13</v>
      </c>
      <c r="AB4" s="234"/>
      <c r="AC4" s="82" t="s">
        <v>30</v>
      </c>
      <c r="AD4" s="231" t="s">
        <v>14</v>
      </c>
      <c r="AE4" s="232"/>
      <c r="AF4" s="84" t="s">
        <v>30</v>
      </c>
      <c r="AG4" s="231" t="s">
        <v>15</v>
      </c>
      <c r="AH4" s="234"/>
      <c r="AI4" s="82" t="s">
        <v>30</v>
      </c>
      <c r="AJ4" s="231" t="s">
        <v>16</v>
      </c>
      <c r="AK4" s="234"/>
      <c r="AL4" s="84" t="s">
        <v>30</v>
      </c>
      <c r="AM4" s="231" t="s">
        <v>29</v>
      </c>
      <c r="AN4" s="232"/>
      <c r="AO4" s="237" t="s">
        <v>28</v>
      </c>
    </row>
    <row r="5" spans="2:44" ht="15" customHeight="1">
      <c r="B5" s="65"/>
      <c r="C5" s="71">
        <v>2019</v>
      </c>
      <c r="D5" s="71">
        <v>2020</v>
      </c>
      <c r="E5" s="74" t="s">
        <v>34</v>
      </c>
      <c r="F5" s="71">
        <v>2019</v>
      </c>
      <c r="G5" s="71">
        <v>2020</v>
      </c>
      <c r="H5" s="82" t="s">
        <v>34</v>
      </c>
      <c r="I5" s="71">
        <v>2019</v>
      </c>
      <c r="J5" s="71">
        <v>2020</v>
      </c>
      <c r="K5" s="82" t="s">
        <v>34</v>
      </c>
      <c r="L5" s="71">
        <v>2019</v>
      </c>
      <c r="M5" s="71">
        <v>2020</v>
      </c>
      <c r="N5" s="82" t="s">
        <v>34</v>
      </c>
      <c r="O5" s="71">
        <v>2019</v>
      </c>
      <c r="P5" s="71">
        <v>2020</v>
      </c>
      <c r="Q5" s="82" t="s">
        <v>34</v>
      </c>
      <c r="R5" s="71">
        <v>2019</v>
      </c>
      <c r="S5" s="71">
        <v>2020</v>
      </c>
      <c r="T5" s="82" t="s">
        <v>34</v>
      </c>
      <c r="U5" s="71">
        <v>2019</v>
      </c>
      <c r="V5" s="71">
        <v>2020</v>
      </c>
      <c r="W5" s="82" t="s">
        <v>34</v>
      </c>
      <c r="X5" s="71">
        <v>2019</v>
      </c>
      <c r="Y5" s="71">
        <v>2020</v>
      </c>
      <c r="Z5" s="82" t="s">
        <v>34</v>
      </c>
      <c r="AA5" s="71">
        <v>2019</v>
      </c>
      <c r="AB5" s="71">
        <v>2020</v>
      </c>
      <c r="AC5" s="82" t="s">
        <v>34</v>
      </c>
      <c r="AD5" s="71">
        <v>2019</v>
      </c>
      <c r="AE5" s="71">
        <v>2020</v>
      </c>
      <c r="AF5" s="84" t="s">
        <v>34</v>
      </c>
      <c r="AG5" s="71">
        <v>2019</v>
      </c>
      <c r="AH5" s="71">
        <v>2020</v>
      </c>
      <c r="AI5" s="82" t="s">
        <v>34</v>
      </c>
      <c r="AJ5" s="71">
        <v>2019</v>
      </c>
      <c r="AK5" s="71">
        <v>2020</v>
      </c>
      <c r="AL5" s="82" t="s">
        <v>34</v>
      </c>
      <c r="AM5" s="71">
        <v>2019</v>
      </c>
      <c r="AN5" s="71">
        <v>2020</v>
      </c>
      <c r="AO5" s="238"/>
    </row>
    <row r="6" spans="2:44">
      <c r="B6" s="75" t="s">
        <v>6</v>
      </c>
      <c r="C6" s="66">
        <v>2344</v>
      </c>
      <c r="D6" s="66">
        <v>2330</v>
      </c>
      <c r="E6" s="62">
        <f>(D6-C6)/C6</f>
        <v>-5.9726962457337888E-3</v>
      </c>
      <c r="F6" s="66">
        <v>2809</v>
      </c>
      <c r="G6" s="66">
        <v>1988</v>
      </c>
      <c r="H6" s="62">
        <f>(G6-F6)/F6</f>
        <v>-0.29227483090067641</v>
      </c>
      <c r="I6" s="66">
        <v>3266</v>
      </c>
      <c r="J6" s="66">
        <v>1609</v>
      </c>
      <c r="K6" s="62">
        <f>(J6-I6)/I6</f>
        <v>-0.50734843845682798</v>
      </c>
      <c r="L6" s="66">
        <v>3008</v>
      </c>
      <c r="M6" s="66">
        <v>824</v>
      </c>
      <c r="N6" s="62">
        <f>(M6-L6)/L6</f>
        <v>-0.72606382978723405</v>
      </c>
      <c r="O6" s="66">
        <v>3641</v>
      </c>
      <c r="P6" s="66">
        <v>1127</v>
      </c>
      <c r="Q6" s="62">
        <f>(P6-O6)/O6</f>
        <v>-0.6904696511947267</v>
      </c>
      <c r="R6" s="66">
        <v>3255</v>
      </c>
      <c r="S6" s="66">
        <v>2283</v>
      </c>
      <c r="T6" s="62">
        <f>(S6-R6)/R6</f>
        <v>-0.29861751152073734</v>
      </c>
      <c r="U6" s="66">
        <v>3120</v>
      </c>
      <c r="V6" s="66">
        <v>3127</v>
      </c>
      <c r="W6" s="62">
        <f>(V6-U6)/U6</f>
        <v>2.2435897435897434E-3</v>
      </c>
      <c r="X6" s="66">
        <v>2929</v>
      </c>
      <c r="Y6" s="66">
        <v>1918</v>
      </c>
      <c r="Z6" s="62">
        <f>(Y6-X6)/X6</f>
        <v>-0.34516899965858655</v>
      </c>
      <c r="AA6" s="2">
        <v>2522</v>
      </c>
      <c r="AB6" s="1">
        <v>1823</v>
      </c>
      <c r="AC6" s="62">
        <f>(AB6-AA6)/AA6</f>
        <v>-0.27716098334655037</v>
      </c>
      <c r="AD6" s="2">
        <v>2798</v>
      </c>
      <c r="AE6" s="185">
        <v>2088</v>
      </c>
      <c r="AF6" s="62">
        <f>(AE6-AD6)/AD6</f>
        <v>-0.25375268048606148</v>
      </c>
      <c r="AG6" s="185">
        <v>2819</v>
      </c>
      <c r="AH6" s="185">
        <v>1544</v>
      </c>
      <c r="AI6" s="62">
        <f>(AH6-AG6)/AG6</f>
        <v>-0.4522880454061724</v>
      </c>
      <c r="AJ6" s="185">
        <v>2860</v>
      </c>
      <c r="AK6" s="183">
        <v>1707</v>
      </c>
      <c r="AL6" s="62">
        <f>(AK6-AJ6)/AJ6</f>
        <v>-0.40314685314685317</v>
      </c>
      <c r="AM6" s="67">
        <f t="shared" ref="AM6:AN10" si="0">C6+F6+I6+L6+O6+R6+U6+X6+AA6+AD6+AG6+AJ6</f>
        <v>35371</v>
      </c>
      <c r="AN6" s="67">
        <f t="shared" si="0"/>
        <v>22368</v>
      </c>
      <c r="AO6" s="72">
        <f>(AN6-AM6)/AM6</f>
        <v>-0.36761753979248535</v>
      </c>
    </row>
    <row r="7" spans="2:44">
      <c r="B7" s="75" t="s">
        <v>3</v>
      </c>
      <c r="C7" s="66">
        <v>399</v>
      </c>
      <c r="D7" s="66">
        <v>440</v>
      </c>
      <c r="E7" s="62">
        <f>(D7-C7)/C7</f>
        <v>0.10275689223057644</v>
      </c>
      <c r="F7" s="66">
        <v>420</v>
      </c>
      <c r="G7" s="66">
        <v>553</v>
      </c>
      <c r="H7" s="62">
        <f>(G7-F7)/F7</f>
        <v>0.31666666666666665</v>
      </c>
      <c r="I7" s="66">
        <v>592</v>
      </c>
      <c r="J7" s="66">
        <v>365</v>
      </c>
      <c r="K7" s="62">
        <f>(J7-I7)/I7</f>
        <v>-0.38344594594594594</v>
      </c>
      <c r="L7" s="66">
        <v>365</v>
      </c>
      <c r="M7" s="81">
        <v>255</v>
      </c>
      <c r="N7" s="62">
        <f>(M7-L7)/L7</f>
        <v>-0.30136986301369861</v>
      </c>
      <c r="O7" s="66">
        <v>457</v>
      </c>
      <c r="P7" s="66">
        <v>315</v>
      </c>
      <c r="Q7" s="62">
        <f>(P7-O7)/O7</f>
        <v>-0.31072210065645517</v>
      </c>
      <c r="R7" s="66">
        <v>658</v>
      </c>
      <c r="S7" s="66">
        <v>361</v>
      </c>
      <c r="T7" s="62">
        <f>(S7-R7)/R7</f>
        <v>-0.45136778115501519</v>
      </c>
      <c r="U7" s="66">
        <v>439</v>
      </c>
      <c r="V7" s="66">
        <v>427</v>
      </c>
      <c r="W7" s="62">
        <f>(V7-U7)/U7</f>
        <v>-2.7334851936218679E-2</v>
      </c>
      <c r="X7" s="66">
        <v>539</v>
      </c>
      <c r="Y7" s="66">
        <v>356</v>
      </c>
      <c r="Z7" s="62">
        <f>(Y7-X7)/X7</f>
        <v>-0.33951762523191092</v>
      </c>
      <c r="AA7" s="2">
        <v>558</v>
      </c>
      <c r="AB7" s="1">
        <v>386</v>
      </c>
      <c r="AC7" s="62">
        <f>(AB7-AA7)/AA7</f>
        <v>-0.30824372759856633</v>
      </c>
      <c r="AD7" s="2">
        <v>467</v>
      </c>
      <c r="AE7" s="185">
        <v>552</v>
      </c>
      <c r="AF7" s="62">
        <f>(AE7-AD7)/AD7</f>
        <v>0.18201284796573874</v>
      </c>
      <c r="AG7" s="185">
        <v>487</v>
      </c>
      <c r="AH7" s="183">
        <v>522</v>
      </c>
      <c r="AI7" s="62">
        <f>(AH7-AG7)/AG7</f>
        <v>7.1868583162217656E-2</v>
      </c>
      <c r="AJ7" s="185">
        <v>604</v>
      </c>
      <c r="AK7" s="183">
        <v>528</v>
      </c>
      <c r="AL7" s="62">
        <f>(AK7-AJ7)/AJ7</f>
        <v>-0.12582781456953643</v>
      </c>
      <c r="AM7" s="67">
        <f t="shared" si="0"/>
        <v>5985</v>
      </c>
      <c r="AN7" s="67">
        <f t="shared" si="0"/>
        <v>5060</v>
      </c>
      <c r="AO7" s="72">
        <f>(AN7-AM7)/AM7</f>
        <v>-0.15455304928989139</v>
      </c>
    </row>
    <row r="8" spans="2:44">
      <c r="B8" s="75" t="s">
        <v>4</v>
      </c>
      <c r="C8" s="66">
        <v>408</v>
      </c>
      <c r="D8" s="66">
        <v>319</v>
      </c>
      <c r="E8" s="62">
        <f>(D8-C8)/C8</f>
        <v>-0.21813725490196079</v>
      </c>
      <c r="F8" s="66">
        <v>331</v>
      </c>
      <c r="G8" s="66">
        <v>198</v>
      </c>
      <c r="H8" s="62">
        <f>(G8-F8)/F8</f>
        <v>-0.40181268882175225</v>
      </c>
      <c r="I8" s="66">
        <v>352</v>
      </c>
      <c r="J8" s="66">
        <v>130</v>
      </c>
      <c r="K8" s="62">
        <f>(J8-I8)/I8</f>
        <v>-0.63068181818181823</v>
      </c>
      <c r="L8" s="66">
        <v>304</v>
      </c>
      <c r="M8" s="66">
        <v>65</v>
      </c>
      <c r="N8" s="62">
        <f>(M8-L8)/L8</f>
        <v>-0.78618421052631582</v>
      </c>
      <c r="O8" s="66">
        <v>388</v>
      </c>
      <c r="P8" s="66">
        <v>80</v>
      </c>
      <c r="Q8" s="62">
        <f>(P8-O8)/O8</f>
        <v>-0.79381443298969068</v>
      </c>
      <c r="R8" s="66">
        <v>347</v>
      </c>
      <c r="S8" s="65">
        <v>168</v>
      </c>
      <c r="T8" s="62">
        <f>(S8-R8)/R8</f>
        <v>-0.51585014409221897</v>
      </c>
      <c r="U8" s="66">
        <v>185</v>
      </c>
      <c r="V8" s="66">
        <v>197</v>
      </c>
      <c r="W8" s="62">
        <f>(V8-U8)/U8</f>
        <v>6.4864864864864868E-2</v>
      </c>
      <c r="X8" s="66">
        <v>141</v>
      </c>
      <c r="Y8" s="66">
        <v>99</v>
      </c>
      <c r="Z8" s="62">
        <f>(Y8-X8)/X8</f>
        <v>-0.2978723404255319</v>
      </c>
      <c r="AA8" s="2">
        <v>181</v>
      </c>
      <c r="AB8" s="1">
        <v>224</v>
      </c>
      <c r="AC8" s="62">
        <f>(AB8-AA8)/AA8</f>
        <v>0.23756906077348067</v>
      </c>
      <c r="AD8" s="2">
        <v>293</v>
      </c>
      <c r="AE8" s="185">
        <v>267</v>
      </c>
      <c r="AF8" s="62">
        <f>(AE8-AD8)/AD8</f>
        <v>-8.8737201365187715E-2</v>
      </c>
      <c r="AG8" s="185">
        <v>191</v>
      </c>
      <c r="AH8" s="183">
        <v>226</v>
      </c>
      <c r="AI8" s="62">
        <f>(AH8-AG8)/AG8</f>
        <v>0.18324607329842932</v>
      </c>
      <c r="AJ8" s="185">
        <v>113</v>
      </c>
      <c r="AK8" s="183">
        <v>82</v>
      </c>
      <c r="AL8" s="62">
        <f>(AK8-AJ8)/AJ8</f>
        <v>-0.27433628318584069</v>
      </c>
      <c r="AM8" s="67">
        <f t="shared" si="0"/>
        <v>3234</v>
      </c>
      <c r="AN8" s="67">
        <f t="shared" si="0"/>
        <v>2055</v>
      </c>
      <c r="AO8" s="72">
        <f>(AN8-AM8)/AM8</f>
        <v>-0.3645640074211503</v>
      </c>
    </row>
    <row r="9" spans="2:44">
      <c r="B9" s="75" t="s">
        <v>5</v>
      </c>
      <c r="C9" s="66">
        <v>17</v>
      </c>
      <c r="D9" s="66">
        <v>30</v>
      </c>
      <c r="E9" s="62">
        <f>(D9-C9)/C9</f>
        <v>0.76470588235294112</v>
      </c>
      <c r="F9" s="66">
        <v>6</v>
      </c>
      <c r="G9" s="66">
        <v>6</v>
      </c>
      <c r="H9" s="62">
        <f>(G9-F9)/F9</f>
        <v>0</v>
      </c>
      <c r="I9" s="66">
        <v>68</v>
      </c>
      <c r="J9" s="66">
        <v>19</v>
      </c>
      <c r="K9" s="62">
        <f>(J9-I9)/I9</f>
        <v>-0.72058823529411764</v>
      </c>
      <c r="L9" s="66">
        <v>52</v>
      </c>
      <c r="M9" s="66">
        <v>16</v>
      </c>
      <c r="N9" s="62">
        <f>(M9-L9)/L9</f>
        <v>-0.69230769230769229</v>
      </c>
      <c r="O9" s="66">
        <v>17</v>
      </c>
      <c r="P9" s="66">
        <v>4</v>
      </c>
      <c r="Q9" s="62">
        <f>(P9-O9)/O9</f>
        <v>-0.76470588235294112</v>
      </c>
      <c r="R9" s="65">
        <v>44</v>
      </c>
      <c r="S9" s="65">
        <v>11</v>
      </c>
      <c r="T9" s="62">
        <f>(S9-R9)/R9</f>
        <v>-0.75</v>
      </c>
      <c r="U9" s="66">
        <v>6</v>
      </c>
      <c r="V9" s="66">
        <v>31</v>
      </c>
      <c r="W9" s="62">
        <f>(V9-U9)/U9</f>
        <v>4.166666666666667</v>
      </c>
      <c r="X9" s="66">
        <v>7</v>
      </c>
      <c r="Y9" s="66">
        <v>9</v>
      </c>
      <c r="Z9" s="62">
        <f>(Y9-X9)/X9</f>
        <v>0.2857142857142857</v>
      </c>
      <c r="AA9" s="81">
        <v>10</v>
      </c>
      <c r="AB9" s="1">
        <v>26</v>
      </c>
      <c r="AC9" s="62">
        <f>(AB9-AA9)/AA9</f>
        <v>1.6</v>
      </c>
      <c r="AD9" s="81">
        <v>79</v>
      </c>
      <c r="AE9" s="185">
        <v>5</v>
      </c>
      <c r="AF9" s="62">
        <f>(AE9-AD9)/AD9</f>
        <v>-0.93670886075949367</v>
      </c>
      <c r="AG9" s="185">
        <v>21</v>
      </c>
      <c r="AH9" s="183">
        <v>17</v>
      </c>
      <c r="AI9" s="62">
        <f>(AH9-AG9)/AG9</f>
        <v>-0.19047619047619047</v>
      </c>
      <c r="AJ9" s="185">
        <v>60</v>
      </c>
      <c r="AK9" s="183">
        <v>6</v>
      </c>
      <c r="AL9" s="62">
        <f>(AK9-AJ9)/AJ9</f>
        <v>-0.9</v>
      </c>
      <c r="AM9" s="67">
        <f t="shared" si="0"/>
        <v>387</v>
      </c>
      <c r="AN9" s="67">
        <f t="shared" si="0"/>
        <v>180</v>
      </c>
      <c r="AO9" s="72">
        <f>(AN9-AM9)/AM9</f>
        <v>-0.53488372093023251</v>
      </c>
    </row>
    <row r="10" spans="2:44" s="70" customFormat="1">
      <c r="B10" s="76" t="s">
        <v>7</v>
      </c>
      <c r="C10" s="67">
        <f>SUM(C6:C9)</f>
        <v>3168</v>
      </c>
      <c r="D10" s="67">
        <f>SUM(D6:D9)</f>
        <v>3119</v>
      </c>
      <c r="E10" s="63">
        <f>(D10-C10)/C10</f>
        <v>-1.5467171717171718E-2</v>
      </c>
      <c r="F10" s="67">
        <f>SUM(F6:F9)</f>
        <v>3566</v>
      </c>
      <c r="G10" s="67">
        <f>SUM(G6:G9)</f>
        <v>2745</v>
      </c>
      <c r="H10" s="63">
        <f>(G10-F10)/F10</f>
        <v>-0.23022994952327538</v>
      </c>
      <c r="I10" s="67">
        <f>SUM(I6:I9)</f>
        <v>4278</v>
      </c>
      <c r="J10" s="67">
        <f>SUM(J6:J9)</f>
        <v>2123</v>
      </c>
      <c r="K10" s="63">
        <f>(J10-I10)/I10</f>
        <v>-0.50374006545114536</v>
      </c>
      <c r="L10" s="77">
        <f>SUM(L6:L9)</f>
        <v>3729</v>
      </c>
      <c r="M10" s="67">
        <f>SUM(M6:M9)</f>
        <v>1160</v>
      </c>
      <c r="N10" s="63">
        <f>(M10-L10)/L10</f>
        <v>-0.6889246446768571</v>
      </c>
      <c r="O10" s="67">
        <f>SUM(O6:O9)</f>
        <v>4503</v>
      </c>
      <c r="P10" s="67">
        <f>SUM(P6:P9)</f>
        <v>1526</v>
      </c>
      <c r="Q10" s="63">
        <f>(P10-O10)/O10</f>
        <v>-0.66111481234732405</v>
      </c>
      <c r="R10" s="67">
        <f>SUM(R6:R9)</f>
        <v>4304</v>
      </c>
      <c r="S10" s="67">
        <f>SUM(S6:S9)</f>
        <v>2823</v>
      </c>
      <c r="T10" s="63">
        <f>(S10-R10)/R10</f>
        <v>-0.34409851301115241</v>
      </c>
      <c r="U10" s="67">
        <f>SUM(U6:U9)</f>
        <v>3750</v>
      </c>
      <c r="V10" s="67">
        <f>SUM(V6:V9)</f>
        <v>3782</v>
      </c>
      <c r="W10" s="63">
        <f>(V10-U10)/U10</f>
        <v>8.5333333333333337E-3</v>
      </c>
      <c r="X10" s="67">
        <f>SUM(X6:X9)</f>
        <v>3616</v>
      </c>
      <c r="Y10" s="67">
        <f>SUM(Y6:Y9)</f>
        <v>2382</v>
      </c>
      <c r="Z10" s="63">
        <f>(Y10-X10)/X10</f>
        <v>-0.34126106194690264</v>
      </c>
      <c r="AA10" s="67">
        <f>SUM(AA6:AA9)</f>
        <v>3271</v>
      </c>
      <c r="AB10" s="67">
        <f>SUM(AB6:AB9)</f>
        <v>2459</v>
      </c>
      <c r="AC10" s="63">
        <f>(AB10-AA10)/AA10</f>
        <v>-0.24824212778966676</v>
      </c>
      <c r="AD10" s="67">
        <f>SUM(AD6:AD9)</f>
        <v>3637</v>
      </c>
      <c r="AE10" s="67">
        <f>SUM(AE6:AE9)</f>
        <v>2912</v>
      </c>
      <c r="AF10" s="63">
        <f>(AE10-AD10)/AD10</f>
        <v>-0.19934011547979102</v>
      </c>
      <c r="AG10" s="67">
        <f>SUM(AG6:AG9)</f>
        <v>3518</v>
      </c>
      <c r="AH10" s="67">
        <f>SUM(AH6:AH9)</f>
        <v>2309</v>
      </c>
      <c r="AI10" s="63">
        <f>(AH10-AG10)/AG10</f>
        <v>-0.34366117111995453</v>
      </c>
      <c r="AJ10" s="187">
        <f>SUM(AJ6:AJ9)</f>
        <v>3637</v>
      </c>
      <c r="AK10" s="187">
        <f>SUM(AK6:AK9)</f>
        <v>2323</v>
      </c>
      <c r="AL10" s="63">
        <f>(AK10-AJ10)/AJ10</f>
        <v>-0.36128677481440746</v>
      </c>
      <c r="AM10" s="67">
        <f t="shared" si="0"/>
        <v>44977</v>
      </c>
      <c r="AN10" s="67">
        <f t="shared" si="0"/>
        <v>29663</v>
      </c>
      <c r="AO10" s="73">
        <f>(AN10-AM10)/AM10</f>
        <v>-0.34048513684772219</v>
      </c>
      <c r="AQ10" s="64"/>
      <c r="AR10" s="79"/>
    </row>
    <row r="12" spans="2:44">
      <c r="B12" s="64" t="s">
        <v>63</v>
      </c>
    </row>
    <row r="13" spans="2:44"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M13" s="184"/>
    </row>
    <row r="14" spans="2:44">
      <c r="B14" s="64" t="s">
        <v>116</v>
      </c>
      <c r="C14" s="80"/>
      <c r="D14" s="80"/>
      <c r="E14" s="80"/>
      <c r="F14" s="80"/>
      <c r="G14" s="80"/>
    </row>
    <row r="15" spans="2:44"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</row>
    <row r="16" spans="2:44">
      <c r="C16" s="81"/>
      <c r="D16" s="81"/>
      <c r="E16" s="81"/>
      <c r="F16" s="81"/>
      <c r="G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</row>
    <row r="17" spans="3:35">
      <c r="C17" s="81"/>
      <c r="D17" s="81"/>
      <c r="E17" s="81"/>
      <c r="F17" s="81"/>
      <c r="G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</row>
    <row r="18" spans="3:35">
      <c r="C18" s="81"/>
      <c r="D18" s="81"/>
      <c r="E18" s="81"/>
      <c r="F18" s="81"/>
      <c r="G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</row>
    <row r="19" spans="3:35">
      <c r="C19" s="81"/>
      <c r="D19" s="81"/>
      <c r="E19" s="81"/>
      <c r="F19" s="81"/>
      <c r="G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</row>
    <row r="20" spans="3:35">
      <c r="C20" s="81"/>
      <c r="D20" s="81"/>
      <c r="E20" s="81"/>
      <c r="F20" s="81"/>
      <c r="G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</row>
    <row r="21" spans="3:35">
      <c r="C21" s="81"/>
      <c r="D21" s="81"/>
      <c r="E21" s="81"/>
      <c r="F21" s="81"/>
      <c r="G21" s="81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pageMargins left="0.7" right="0.7" top="0.78740157499999996" bottom="0.78740157499999996" header="0.3" footer="0.3"/>
  <pageSetup paperSize="9" orientation="portrait" verticalDpi="0" r:id="rId1"/>
  <ignoredErrors>
    <ignoredError sqref="C10:D10 F10:G10 I10:J10 L10:M10 O10:P10 R10:S10 U10:V10 X10:Y10 AA10:AB10 AD10:AE10 AG10:AH10 AJ10:AK10" formulaRange="1"/>
    <ignoredError sqref="E10 H10 K10 N10 Q10 T10 W10 AI10 Z10" formula="1"/>
    <ignoredError sqref="AC6:AC9 AF6:AF9" evalError="1"/>
    <ignoredError sqref="AC10 AF10" evalError="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63464-2F8B-4224-961D-6B35F0074867}">
  <dimension ref="A1:AR21"/>
  <sheetViews>
    <sheetView topLeftCell="B1" zoomScaleNormal="100" workbookViewId="0">
      <pane xSplit="1" topLeftCell="AD1" activePane="topRight" state="frozen"/>
      <selection activeCell="B1" sqref="B1"/>
      <selection pane="topRight" activeCell="AO15" sqref="AO15"/>
    </sheetView>
  </sheetViews>
  <sheetFormatPr baseColWidth="10" defaultColWidth="11.42578125" defaultRowHeight="15"/>
  <cols>
    <col min="1" max="1" width="57" style="64" hidden="1" customWidth="1"/>
    <col min="2" max="2" width="19.28515625" style="64" customWidth="1"/>
    <col min="3" max="3" width="9.5703125" style="64" customWidth="1"/>
    <col min="4" max="4" width="9.5703125" style="64" bestFit="1" customWidth="1"/>
    <col min="5" max="5" width="10.140625" style="38" customWidth="1"/>
    <col min="6" max="6" width="9.5703125" style="64" bestFit="1" customWidth="1"/>
    <col min="7" max="7" width="8" style="64" bestFit="1" customWidth="1"/>
    <col min="8" max="8" width="10.42578125" style="38" customWidth="1"/>
    <col min="9" max="10" width="9.5703125" style="64" bestFit="1" customWidth="1"/>
    <col min="11" max="11" width="10.7109375" style="38" customWidth="1"/>
    <col min="12" max="13" width="9.5703125" style="64" bestFit="1" customWidth="1"/>
    <col min="14" max="14" width="10.28515625" style="38" customWidth="1"/>
    <col min="15" max="16" width="9.5703125" style="64" bestFit="1" customWidth="1"/>
    <col min="17" max="17" width="10.7109375" style="38" customWidth="1"/>
    <col min="18" max="18" width="10" style="64" customWidth="1"/>
    <col min="19" max="19" width="9.42578125" style="64" customWidth="1"/>
    <col min="20" max="20" width="10.7109375" style="38" customWidth="1"/>
    <col min="21" max="22" width="11.42578125" style="64"/>
    <col min="23" max="23" width="10.7109375" style="38" bestFit="1" customWidth="1"/>
    <col min="24" max="25" width="11.42578125" style="64"/>
    <col min="26" max="26" width="10.7109375" style="38" bestFit="1" customWidth="1"/>
    <col min="27" max="28" width="11.42578125" style="64"/>
    <col min="29" max="29" width="10.7109375" style="38" bestFit="1" customWidth="1"/>
    <col min="30" max="30" width="11.42578125" style="64"/>
    <col min="31" max="31" width="9.7109375" style="64" customWidth="1"/>
    <col min="32" max="32" width="10" style="38" customWidth="1"/>
    <col min="33" max="33" width="11.42578125" style="64"/>
    <col min="34" max="34" width="12" style="64" customWidth="1"/>
    <col min="35" max="35" width="10.85546875" style="38" customWidth="1"/>
    <col min="36" max="36" width="11.42578125" style="64"/>
    <col min="37" max="37" width="10.140625" style="64" customWidth="1"/>
    <col min="38" max="38" width="10.7109375" style="38" bestFit="1" customWidth="1"/>
    <col min="39" max="16384" width="11.42578125" style="64"/>
  </cols>
  <sheetData>
    <row r="1" spans="2:44">
      <c r="B1" s="70" t="s">
        <v>41</v>
      </c>
    </row>
    <row r="2" spans="2:44">
      <c r="S2" s="184"/>
    </row>
    <row r="4" spans="2:44" ht="45">
      <c r="B4" s="183"/>
      <c r="C4" s="242" t="s">
        <v>8</v>
      </c>
      <c r="D4" s="242"/>
      <c r="E4" s="176" t="s">
        <v>30</v>
      </c>
      <c r="F4" s="242" t="s">
        <v>9</v>
      </c>
      <c r="G4" s="242"/>
      <c r="H4" s="176" t="s">
        <v>30</v>
      </c>
      <c r="I4" s="242" t="s">
        <v>10</v>
      </c>
      <c r="J4" s="242"/>
      <c r="K4" s="176" t="s">
        <v>30</v>
      </c>
      <c r="L4" s="242" t="s">
        <v>11</v>
      </c>
      <c r="M4" s="242"/>
      <c r="N4" s="176" t="s">
        <v>30</v>
      </c>
      <c r="O4" s="242" t="s">
        <v>0</v>
      </c>
      <c r="P4" s="242"/>
      <c r="Q4" s="176" t="s">
        <v>30</v>
      </c>
      <c r="R4" s="242" t="s">
        <v>1</v>
      </c>
      <c r="S4" s="242"/>
      <c r="T4" s="176" t="s">
        <v>30</v>
      </c>
      <c r="U4" s="242" t="s">
        <v>2</v>
      </c>
      <c r="V4" s="242"/>
      <c r="W4" s="176" t="s">
        <v>30</v>
      </c>
      <c r="X4" s="243" t="s">
        <v>12</v>
      </c>
      <c r="Y4" s="243"/>
      <c r="Z4" s="207" t="s">
        <v>30</v>
      </c>
      <c r="AA4" s="242" t="s">
        <v>13</v>
      </c>
      <c r="AB4" s="242"/>
      <c r="AC4" s="176" t="s">
        <v>30</v>
      </c>
      <c r="AD4" s="242" t="s">
        <v>14</v>
      </c>
      <c r="AE4" s="242"/>
      <c r="AF4" s="176" t="s">
        <v>30</v>
      </c>
      <c r="AG4" s="242" t="s">
        <v>15</v>
      </c>
      <c r="AH4" s="242"/>
      <c r="AI4" s="176" t="s">
        <v>30</v>
      </c>
      <c r="AJ4" s="244" t="s">
        <v>16</v>
      </c>
      <c r="AK4" s="244"/>
      <c r="AL4" s="221" t="s">
        <v>30</v>
      </c>
      <c r="AM4" s="231" t="s">
        <v>29</v>
      </c>
      <c r="AN4" s="232"/>
      <c r="AO4" s="208" t="s">
        <v>28</v>
      </c>
      <c r="AP4" s="240" t="s">
        <v>29</v>
      </c>
      <c r="AQ4" s="241"/>
      <c r="AR4" s="209" t="s">
        <v>28</v>
      </c>
    </row>
    <row r="5" spans="2:44">
      <c r="B5" s="183"/>
      <c r="C5" s="13">
        <v>2019</v>
      </c>
      <c r="D5" s="13">
        <v>2020</v>
      </c>
      <c r="E5" s="13" t="s">
        <v>34</v>
      </c>
      <c r="F5" s="13">
        <v>2019</v>
      </c>
      <c r="G5" s="13">
        <v>2020</v>
      </c>
      <c r="H5" s="13" t="s">
        <v>34</v>
      </c>
      <c r="I5" s="13">
        <v>2019</v>
      </c>
      <c r="J5" s="13">
        <v>2020</v>
      </c>
      <c r="K5" s="13" t="s">
        <v>34</v>
      </c>
      <c r="L5" s="13">
        <v>2019</v>
      </c>
      <c r="M5" s="13">
        <v>2020</v>
      </c>
      <c r="N5" s="13" t="s">
        <v>34</v>
      </c>
      <c r="O5" s="13">
        <v>2019</v>
      </c>
      <c r="P5" s="13">
        <v>2020</v>
      </c>
      <c r="Q5" s="13" t="s">
        <v>34</v>
      </c>
      <c r="R5" s="13">
        <v>2019</v>
      </c>
      <c r="S5" s="13">
        <v>2020</v>
      </c>
      <c r="T5" s="13" t="s">
        <v>34</v>
      </c>
      <c r="U5" s="13">
        <v>2019</v>
      </c>
      <c r="V5" s="13">
        <v>2020</v>
      </c>
      <c r="W5" s="13" t="s">
        <v>34</v>
      </c>
      <c r="X5" s="210">
        <v>2019</v>
      </c>
      <c r="Y5" s="210">
        <v>2020</v>
      </c>
      <c r="Z5" s="210" t="s">
        <v>34</v>
      </c>
      <c r="AA5" s="13">
        <v>2019</v>
      </c>
      <c r="AB5" s="13">
        <v>2020</v>
      </c>
      <c r="AC5" s="13" t="s">
        <v>34</v>
      </c>
      <c r="AD5" s="13">
        <v>2019</v>
      </c>
      <c r="AE5" s="13">
        <v>2020</v>
      </c>
      <c r="AF5" s="13" t="s">
        <v>34</v>
      </c>
      <c r="AG5" s="13">
        <v>2019</v>
      </c>
      <c r="AH5" s="13">
        <v>2020</v>
      </c>
      <c r="AI5" s="13" t="s">
        <v>34</v>
      </c>
      <c r="AJ5" s="222">
        <v>2019</v>
      </c>
      <c r="AK5" s="222">
        <v>2020</v>
      </c>
      <c r="AL5" s="222" t="s">
        <v>34</v>
      </c>
      <c r="AM5" s="13">
        <v>2019</v>
      </c>
      <c r="AN5" s="13">
        <v>2020</v>
      </c>
      <c r="AO5" s="212"/>
      <c r="AP5" s="211">
        <v>2019</v>
      </c>
      <c r="AQ5" s="211">
        <v>2020</v>
      </c>
      <c r="AR5" s="213"/>
    </row>
    <row r="6" spans="2:44">
      <c r="B6" s="19" t="s">
        <v>6</v>
      </c>
      <c r="C6" s="185">
        <v>2025382</v>
      </c>
      <c r="D6" s="185">
        <v>1612525</v>
      </c>
      <c r="E6" s="223">
        <f>(D6-C6)/C6</f>
        <v>-0.20384154692793754</v>
      </c>
      <c r="F6" s="185">
        <v>1221752</v>
      </c>
      <c r="G6" s="185">
        <v>226604</v>
      </c>
      <c r="H6" s="223">
        <f>(G6-F6)/F6</f>
        <v>-0.81452537012421511</v>
      </c>
      <c r="I6" s="185">
        <v>2024107</v>
      </c>
      <c r="J6" s="185">
        <v>1056021</v>
      </c>
      <c r="K6" s="223">
        <f>(J6-I6)/I6</f>
        <v>-0.47827807522033172</v>
      </c>
      <c r="L6" s="185">
        <v>1577972</v>
      </c>
      <c r="M6" s="185">
        <v>1537021</v>
      </c>
      <c r="N6" s="223">
        <f>(M6-L6)/L6</f>
        <v>-2.5951664541576151E-2</v>
      </c>
      <c r="O6" s="185">
        <v>1564679</v>
      </c>
      <c r="P6" s="185">
        <v>1673682</v>
      </c>
      <c r="Q6" s="223">
        <f>(P6-O6)/O6</f>
        <v>6.9664768300718549E-2</v>
      </c>
      <c r="R6" s="214">
        <v>1731638</v>
      </c>
      <c r="S6" s="214">
        <v>1763626</v>
      </c>
      <c r="T6" s="225">
        <f>(S6-R6)/R6</f>
        <v>1.8472683089652688E-2</v>
      </c>
      <c r="U6" s="185">
        <v>1534165</v>
      </c>
      <c r="V6" s="185">
        <v>1664689</v>
      </c>
      <c r="W6" s="225">
        <f>(V6-U6)/U6</f>
        <v>8.5078202149051763E-2</v>
      </c>
      <c r="X6" s="124">
        <v>1654557</v>
      </c>
      <c r="Y6" s="124">
        <v>1754529</v>
      </c>
      <c r="Z6" s="227">
        <f>(Y6-X6)/X6</f>
        <v>6.0422215735088006E-2</v>
      </c>
      <c r="AA6" s="124">
        <v>1933156</v>
      </c>
      <c r="AB6" s="124">
        <v>2088191</v>
      </c>
      <c r="AC6" s="227">
        <f>(AB6-AA6)/AA6</f>
        <v>8.0197873322173693E-2</v>
      </c>
      <c r="AD6" s="124">
        <v>1930927</v>
      </c>
      <c r="AE6" s="124">
        <v>2109557</v>
      </c>
      <c r="AF6" s="227">
        <f>(AE6-AD6)/AD6</f>
        <v>9.250997059961355E-2</v>
      </c>
      <c r="AG6" s="124">
        <v>2058876</v>
      </c>
      <c r="AH6" s="124">
        <v>2297401</v>
      </c>
      <c r="AI6" s="227">
        <f>(AH6-AG6)/AG6</f>
        <v>0.11585204742781983</v>
      </c>
      <c r="AJ6" s="196">
        <v>2216301</v>
      </c>
      <c r="AK6" s="197">
        <v>2375101</v>
      </c>
      <c r="AL6" s="228">
        <f>(AK6-AJ6)/AJ6</f>
        <v>7.1650917452096979E-2</v>
      </c>
      <c r="AM6" s="185">
        <f>C6+F6+I6+L6+O6+R6+U6+X6+AA6+AD6+AG6+AJ6</f>
        <v>21473512</v>
      </c>
      <c r="AN6" s="185">
        <f t="shared" ref="AN6:AN10" si="0">D6+G6+J6+M6+P6+S6+V6+Y6+AB6+AE6+AH6+AK6</f>
        <v>20158947</v>
      </c>
      <c r="AO6" s="14">
        <f>(AN6-AM6)/AM6</f>
        <v>-6.1217978689280077E-2</v>
      </c>
      <c r="AP6" s="217">
        <v>21472092</v>
      </c>
      <c r="AQ6" s="217">
        <v>20177731</v>
      </c>
      <c r="AR6" s="218">
        <f>(AQ6-AP6)/AP6</f>
        <v>-6.0281084861223584E-2</v>
      </c>
    </row>
    <row r="7" spans="2:44">
      <c r="B7" s="19" t="s">
        <v>42</v>
      </c>
      <c r="C7" s="185">
        <v>150223</v>
      </c>
      <c r="D7" s="185">
        <v>118655</v>
      </c>
      <c r="E7" s="223">
        <f t="shared" ref="E7:E10" si="1">(D7-C7)/C7</f>
        <v>-0.21014092382657781</v>
      </c>
      <c r="F7" s="185">
        <v>113849</v>
      </c>
      <c r="G7" s="49">
        <v>26736</v>
      </c>
      <c r="H7" s="223">
        <f t="shared" ref="H7:H10" si="2">(G7-F7)/F7</f>
        <v>-0.76516262769106447</v>
      </c>
      <c r="I7" s="185">
        <v>211977</v>
      </c>
      <c r="J7" s="185">
        <v>161218</v>
      </c>
      <c r="K7" s="223">
        <f t="shared" ref="K7:K10" si="3">(J7-I7)/I7</f>
        <v>-0.23945522391580218</v>
      </c>
      <c r="L7" s="185">
        <v>176659</v>
      </c>
      <c r="M7" s="184">
        <v>204888</v>
      </c>
      <c r="N7" s="223">
        <f t="shared" ref="N7:N10" si="4">(M7-L7)/L7</f>
        <v>0.15979372689758234</v>
      </c>
      <c r="O7" s="185">
        <v>153443</v>
      </c>
      <c r="P7" s="185">
        <v>203556</v>
      </c>
      <c r="Q7" s="223">
        <f t="shared" ref="Q7:Q10" si="5">(P7-O7)/O7</f>
        <v>0.32659032995965931</v>
      </c>
      <c r="R7" s="214">
        <v>149387</v>
      </c>
      <c r="S7" s="214">
        <v>223868</v>
      </c>
      <c r="T7" s="225">
        <f t="shared" ref="T7:T10" si="6">(S7-R7)/R7</f>
        <v>0.49857752013227391</v>
      </c>
      <c r="U7" s="185">
        <v>124711</v>
      </c>
      <c r="V7" s="185">
        <v>186086</v>
      </c>
      <c r="W7" s="225">
        <f t="shared" ref="W7:W10" si="7">(V7-U7)/U7</f>
        <v>0.49213782264595746</v>
      </c>
      <c r="X7" s="124">
        <v>147150</v>
      </c>
      <c r="Y7" s="124">
        <v>180216</v>
      </c>
      <c r="Z7" s="227">
        <f t="shared" ref="Z7:Z10" si="8">(Y7-X7)/X7</f>
        <v>0.22470948012232417</v>
      </c>
      <c r="AA7" s="124">
        <v>169345</v>
      </c>
      <c r="AB7" s="124">
        <v>194260</v>
      </c>
      <c r="AC7" s="227">
        <f t="shared" ref="AC7:AC10" si="9">(AB7-AA7)/AA7</f>
        <v>0.14712569015914259</v>
      </c>
      <c r="AD7" s="124">
        <v>172943</v>
      </c>
      <c r="AE7" s="124">
        <v>195043</v>
      </c>
      <c r="AF7" s="227">
        <f t="shared" ref="AF7:AF10" si="10">(AE7-AD7)/AD7</f>
        <v>0.12778776822421259</v>
      </c>
      <c r="AG7" s="124">
        <v>196526</v>
      </c>
      <c r="AH7" s="124">
        <v>203462</v>
      </c>
      <c r="AI7" s="227">
        <f t="shared" ref="AI7" si="11">(AH7-AG7)/AG7</f>
        <v>3.5293040106652553E-2</v>
      </c>
      <c r="AJ7" s="196">
        <v>228842</v>
      </c>
      <c r="AK7" s="197">
        <v>229109</v>
      </c>
      <c r="AL7" s="228">
        <f t="shared" ref="AL7" si="12">(AK7-AJ7)/AJ7</f>
        <v>1.1667438669475008E-3</v>
      </c>
      <c r="AM7" s="185">
        <f t="shared" ref="AM7:AM9" si="13">C7+F7+I7+L7+O7+R7+U7+X7+AA7+AD7+AG7+AJ7</f>
        <v>1995055</v>
      </c>
      <c r="AN7" s="185">
        <f t="shared" si="0"/>
        <v>2127097</v>
      </c>
      <c r="AO7" s="14">
        <f t="shared" ref="AO7:AO10" si="14">(AN7-AM7)/AM7</f>
        <v>6.6184641526173468E-2</v>
      </c>
      <c r="AP7" s="217">
        <v>1996560</v>
      </c>
      <c r="AQ7" s="217">
        <v>2127553</v>
      </c>
      <c r="AR7" s="218">
        <f t="shared" ref="AR7:AR10" si="15">(AQ7-AP7)/AP7</f>
        <v>6.5609348078695354E-2</v>
      </c>
    </row>
    <row r="8" spans="2:44">
      <c r="B8" s="19" t="s">
        <v>4</v>
      </c>
      <c r="C8" s="185">
        <v>184697</v>
      </c>
      <c r="D8" s="185">
        <v>194675</v>
      </c>
      <c r="E8" s="223">
        <f t="shared" si="1"/>
        <v>5.4023617059291706E-2</v>
      </c>
      <c r="F8" s="185">
        <v>144737</v>
      </c>
      <c r="G8" s="185">
        <v>58397</v>
      </c>
      <c r="H8" s="223">
        <f t="shared" si="2"/>
        <v>-0.59653025833062723</v>
      </c>
      <c r="I8" s="185">
        <v>278088</v>
      </c>
      <c r="J8" s="185">
        <v>221433</v>
      </c>
      <c r="K8" s="223">
        <f t="shared" si="3"/>
        <v>-0.2037304738068525</v>
      </c>
      <c r="L8" s="185">
        <v>218339</v>
      </c>
      <c r="M8" s="185">
        <v>321339</v>
      </c>
      <c r="N8" s="223">
        <f t="shared" si="4"/>
        <v>0.47174348146689321</v>
      </c>
      <c r="O8" s="185">
        <v>188077</v>
      </c>
      <c r="P8" s="185">
        <v>307477</v>
      </c>
      <c r="Q8" s="223">
        <f t="shared" si="5"/>
        <v>0.63484636611600564</v>
      </c>
      <c r="R8" s="214">
        <v>166237</v>
      </c>
      <c r="S8" s="214">
        <v>301679</v>
      </c>
      <c r="T8" s="225">
        <f t="shared" si="6"/>
        <v>0.81475243176910073</v>
      </c>
      <c r="U8" s="185">
        <v>139328</v>
      </c>
      <c r="V8" s="185">
        <v>254092</v>
      </c>
      <c r="W8" s="225">
        <f t="shared" si="7"/>
        <v>0.82369660082682594</v>
      </c>
      <c r="X8" s="124">
        <v>146437</v>
      </c>
      <c r="Y8" s="124">
        <v>242333</v>
      </c>
      <c r="Z8" s="227">
        <f t="shared" si="8"/>
        <v>0.65486181771000496</v>
      </c>
      <c r="AA8" s="124">
        <v>162494</v>
      </c>
      <c r="AB8" s="124">
        <v>273099</v>
      </c>
      <c r="AC8" s="227">
        <f t="shared" si="9"/>
        <v>0.68067128632441809</v>
      </c>
      <c r="AD8" s="124">
        <v>176350</v>
      </c>
      <c r="AE8" s="124">
        <v>258664</v>
      </c>
      <c r="AF8" s="227">
        <f t="shared" si="10"/>
        <v>0.46676495605330309</v>
      </c>
      <c r="AG8" s="124">
        <v>190458</v>
      </c>
      <c r="AH8" s="124">
        <v>257168</v>
      </c>
      <c r="AI8" s="227">
        <f>(AH8-AG8)/AG8</f>
        <v>0.35026094992071743</v>
      </c>
      <c r="AJ8" s="196">
        <v>191492</v>
      </c>
      <c r="AK8" s="197">
        <v>209957</v>
      </c>
      <c r="AL8" s="228">
        <f>(AK8-AJ8)/AJ8</f>
        <v>9.6427004783489645E-2</v>
      </c>
      <c r="AM8" s="185">
        <f t="shared" si="13"/>
        <v>2186734</v>
      </c>
      <c r="AN8" s="185">
        <f t="shared" si="0"/>
        <v>2900313</v>
      </c>
      <c r="AO8" s="14">
        <f t="shared" si="14"/>
        <v>0.32632181143202604</v>
      </c>
      <c r="AP8" s="217">
        <v>2186201</v>
      </c>
      <c r="AQ8" s="217">
        <v>2901819</v>
      </c>
      <c r="AR8" s="218">
        <f t="shared" si="15"/>
        <v>0.32733403744669404</v>
      </c>
    </row>
    <row r="9" spans="2:44">
      <c r="B9" s="19" t="s">
        <v>5</v>
      </c>
      <c r="C9" s="184">
        <v>11304</v>
      </c>
      <c r="D9" s="185">
        <v>7020</v>
      </c>
      <c r="E9" s="223">
        <f t="shared" si="1"/>
        <v>-0.37898089171974525</v>
      </c>
      <c r="F9" s="185">
        <v>3575</v>
      </c>
      <c r="G9" s="185">
        <v>1204</v>
      </c>
      <c r="H9" s="223">
        <f t="shared" si="2"/>
        <v>-0.66321678321678323</v>
      </c>
      <c r="I9" s="185">
        <v>10632</v>
      </c>
      <c r="J9" s="185">
        <v>4877</v>
      </c>
      <c r="K9" s="223">
        <f t="shared" si="3"/>
        <v>-0.54129044394281411</v>
      </c>
      <c r="L9" s="185">
        <v>10622</v>
      </c>
      <c r="M9" s="185">
        <v>7529</v>
      </c>
      <c r="N9" s="223">
        <f t="shared" si="4"/>
        <v>-0.29118810016945962</v>
      </c>
      <c r="O9" s="185">
        <v>9873</v>
      </c>
      <c r="P9" s="185">
        <v>8865</v>
      </c>
      <c r="Q9" s="223">
        <f t="shared" si="5"/>
        <v>-0.10209662716499544</v>
      </c>
      <c r="R9" s="215">
        <v>12970</v>
      </c>
      <c r="S9" s="214">
        <v>10523</v>
      </c>
      <c r="T9" s="225">
        <f t="shared" si="6"/>
        <v>-0.18866615265998457</v>
      </c>
      <c r="U9" s="183">
        <v>16521</v>
      </c>
      <c r="V9" s="185">
        <v>6936</v>
      </c>
      <c r="W9" s="225">
        <f t="shared" si="7"/>
        <v>-0.58017069184674053</v>
      </c>
      <c r="X9" s="124">
        <v>11077</v>
      </c>
      <c r="Y9" s="124">
        <v>8734</v>
      </c>
      <c r="Z9" s="227">
        <f t="shared" si="8"/>
        <v>-0.21151936444885799</v>
      </c>
      <c r="AA9" s="173">
        <v>8206</v>
      </c>
      <c r="AB9" s="124">
        <v>9651</v>
      </c>
      <c r="AC9" s="227">
        <f t="shared" si="9"/>
        <v>0.17609066536680479</v>
      </c>
      <c r="AD9" s="173">
        <v>7208</v>
      </c>
      <c r="AE9" s="124">
        <v>9964</v>
      </c>
      <c r="AF9" s="227">
        <f t="shared" si="10"/>
        <v>0.38235294117647056</v>
      </c>
      <c r="AG9" s="173">
        <v>13627</v>
      </c>
      <c r="AH9" s="124">
        <v>11635</v>
      </c>
      <c r="AI9" s="227">
        <f>(AH9-AG9)/AG9</f>
        <v>-0.14618037719233873</v>
      </c>
      <c r="AJ9" s="196">
        <v>25127</v>
      </c>
      <c r="AK9" s="197">
        <v>17078</v>
      </c>
      <c r="AL9" s="228">
        <f>(AK9-AJ9)/AJ9</f>
        <v>-0.32033270983404305</v>
      </c>
      <c r="AM9" s="185">
        <f t="shared" si="13"/>
        <v>140742</v>
      </c>
      <c r="AN9" s="185">
        <f t="shared" si="0"/>
        <v>104016</v>
      </c>
      <c r="AO9" s="14">
        <f t="shared" si="14"/>
        <v>-0.26094555996077928</v>
      </c>
      <c r="AP9" s="217">
        <v>142078</v>
      </c>
      <c r="AQ9" s="217">
        <v>103966</v>
      </c>
      <c r="AR9" s="218">
        <f t="shared" si="15"/>
        <v>-0.26824701924295108</v>
      </c>
    </row>
    <row r="10" spans="2:44" s="70" customFormat="1">
      <c r="B10" s="22" t="s">
        <v>7</v>
      </c>
      <c r="C10" s="3">
        <f>SUM(C6:C9)</f>
        <v>2371606</v>
      </c>
      <c r="D10" s="3">
        <f>SUM(D6:D9)</f>
        <v>1932875</v>
      </c>
      <c r="E10" s="224">
        <f t="shared" si="1"/>
        <v>-0.18499320713474329</v>
      </c>
      <c r="F10" s="3">
        <f>SUM(F6:F9)</f>
        <v>1483913</v>
      </c>
      <c r="G10" s="3">
        <f>SUM(G6:G9)</f>
        <v>312941</v>
      </c>
      <c r="H10" s="224">
        <f t="shared" si="2"/>
        <v>-0.78911095192238356</v>
      </c>
      <c r="I10" s="3">
        <f>SUM(I6:I9)</f>
        <v>2524804</v>
      </c>
      <c r="J10" s="3">
        <f>SUM(J6:J9)</f>
        <v>1443549</v>
      </c>
      <c r="K10" s="224">
        <f t="shared" si="3"/>
        <v>-0.42825304459276836</v>
      </c>
      <c r="L10" s="3">
        <f>SUM(L6:L9)</f>
        <v>1983592</v>
      </c>
      <c r="M10" s="3">
        <f>SUM(M6:M9)</f>
        <v>2070777</v>
      </c>
      <c r="N10" s="224">
        <f t="shared" si="4"/>
        <v>4.3953091159875619E-2</v>
      </c>
      <c r="O10" s="3">
        <f>SUM(O6:O9)</f>
        <v>1916072</v>
      </c>
      <c r="P10" s="3">
        <f>SUM(P6:P9)</f>
        <v>2193580</v>
      </c>
      <c r="Q10" s="224">
        <f t="shared" si="5"/>
        <v>0.1448317182235323</v>
      </c>
      <c r="R10" s="3">
        <f>SUM(R6:R9)</f>
        <v>2060232</v>
      </c>
      <c r="S10" s="3">
        <f>SUM(S6:S9)</f>
        <v>2299696</v>
      </c>
      <c r="T10" s="225">
        <f t="shared" si="6"/>
        <v>0.11623157003677256</v>
      </c>
      <c r="U10" s="3">
        <f>SUM(U6:U9)</f>
        <v>1814725</v>
      </c>
      <c r="V10" s="3">
        <f>SUM(V6:V9)</f>
        <v>2111803</v>
      </c>
      <c r="W10" s="226">
        <f t="shared" si="7"/>
        <v>0.16370414250092991</v>
      </c>
      <c r="X10" s="216">
        <f>SUM(X6:X9)</f>
        <v>1959221</v>
      </c>
      <c r="Y10" s="216">
        <f>SUM(Y6:Y9)</f>
        <v>2185812</v>
      </c>
      <c r="Z10" s="224">
        <f t="shared" si="8"/>
        <v>0.11565361947427064</v>
      </c>
      <c r="AA10" s="216">
        <f>SUM(AA6:AA9)</f>
        <v>2273201</v>
      </c>
      <c r="AB10" s="216">
        <f>SUM(AB6:AB9)</f>
        <v>2565201</v>
      </c>
      <c r="AC10" s="224">
        <f t="shared" si="9"/>
        <v>0.12845322520973729</v>
      </c>
      <c r="AD10" s="216">
        <f>SUM(AD6:AD9)</f>
        <v>2287428</v>
      </c>
      <c r="AE10" s="216">
        <f>SUM(AE6:AE9)</f>
        <v>2573228</v>
      </c>
      <c r="AF10" s="224">
        <f t="shared" si="10"/>
        <v>0.12494382336842952</v>
      </c>
      <c r="AG10" s="216">
        <f>SUM(AG6:AG9)</f>
        <v>2459487</v>
      </c>
      <c r="AH10" s="216">
        <f>SUM(AH6:AH9)</f>
        <v>2769666</v>
      </c>
      <c r="AI10" s="227">
        <f>(AH10-AG10)/AG10</f>
        <v>0.12611532404928344</v>
      </c>
      <c r="AJ10" s="216">
        <f>SUM(AJ6:AJ9)</f>
        <v>2661762</v>
      </c>
      <c r="AK10" s="216">
        <f>SUM(AK6:AK9)</f>
        <v>2831245</v>
      </c>
      <c r="AL10" s="228">
        <f>(AK10-AJ10)/AJ10</f>
        <v>6.3673235999311739E-2</v>
      </c>
      <c r="AM10" s="3">
        <f>C10+F10+I10+L10+O10+R10+U10+X10+AA10+AD10+AG10+AJ10</f>
        <v>25796043</v>
      </c>
      <c r="AN10" s="3">
        <f t="shared" si="0"/>
        <v>25290373</v>
      </c>
      <c r="AO10" s="15">
        <f t="shared" si="14"/>
        <v>-1.9602618897789865E-2</v>
      </c>
      <c r="AP10" s="219">
        <v>25796931</v>
      </c>
      <c r="AQ10" s="219">
        <v>25311069</v>
      </c>
      <c r="AR10" s="220">
        <f t="shared" si="15"/>
        <v>-1.8834100847112394E-2</v>
      </c>
    </row>
    <row r="12" spans="2:44">
      <c r="B12" s="64" t="s">
        <v>43</v>
      </c>
      <c r="AM12" s="184"/>
      <c r="AN12" s="184"/>
    </row>
    <row r="13" spans="2:44">
      <c r="X13" s="80"/>
      <c r="Y13" s="80"/>
      <c r="AA13" s="80"/>
      <c r="AB13" s="80"/>
      <c r="AD13" s="80"/>
      <c r="AE13" s="80"/>
      <c r="AG13" s="80"/>
      <c r="AH13" s="80"/>
      <c r="AM13" s="184"/>
    </row>
    <row r="14" spans="2:44">
      <c r="B14" s="50" t="s">
        <v>44</v>
      </c>
      <c r="C14" s="80" t="s">
        <v>45</v>
      </c>
      <c r="D14" s="80"/>
      <c r="E14" s="48"/>
      <c r="F14" s="80"/>
      <c r="G14" s="80"/>
      <c r="H14" s="48"/>
      <c r="K14" s="48"/>
      <c r="N14" s="48"/>
      <c r="Q14" s="48"/>
      <c r="T14" s="48"/>
      <c r="W14" s="48"/>
      <c r="Z14" s="48"/>
      <c r="AC14" s="48"/>
      <c r="AF14" s="48"/>
      <c r="AI14" s="48"/>
      <c r="AL14" s="48"/>
    </row>
    <row r="15" spans="2:44">
      <c r="X15" s="184"/>
      <c r="Y15" s="184"/>
      <c r="AA15" s="184"/>
      <c r="AB15" s="184"/>
      <c r="AD15" s="184"/>
      <c r="AE15" s="184"/>
      <c r="AG15" s="184"/>
      <c r="AH15" s="184"/>
    </row>
    <row r="16" spans="2:44">
      <c r="C16" s="184"/>
      <c r="D16" s="184"/>
      <c r="E16" s="79"/>
      <c r="F16" s="184"/>
      <c r="G16" s="184"/>
      <c r="H16" s="79"/>
      <c r="K16" s="79"/>
      <c r="N16" s="79"/>
      <c r="Q16" s="79"/>
      <c r="T16" s="79"/>
      <c r="W16" s="79"/>
      <c r="X16" s="184"/>
      <c r="Y16" s="184"/>
      <c r="Z16" s="79"/>
      <c r="AA16" s="184"/>
      <c r="AB16" s="184"/>
      <c r="AC16" s="79"/>
      <c r="AD16" s="184"/>
      <c r="AE16" s="184"/>
      <c r="AF16" s="79"/>
      <c r="AG16" s="184"/>
      <c r="AH16" s="184"/>
      <c r="AI16" s="79"/>
      <c r="AL16" s="79"/>
    </row>
    <row r="17" spans="3:38">
      <c r="C17" s="184"/>
      <c r="D17" s="184"/>
      <c r="E17" s="79"/>
      <c r="F17" s="184"/>
      <c r="G17" s="184"/>
      <c r="H17" s="79"/>
      <c r="K17" s="79"/>
      <c r="N17" s="79"/>
      <c r="Q17" s="79"/>
      <c r="T17" s="79"/>
      <c r="W17" s="79"/>
      <c r="X17" s="184"/>
      <c r="Y17" s="184"/>
      <c r="Z17" s="79"/>
      <c r="AA17" s="184"/>
      <c r="AB17" s="184"/>
      <c r="AC17" s="79"/>
      <c r="AD17" s="184"/>
      <c r="AE17" s="184"/>
      <c r="AF17" s="79"/>
      <c r="AG17" s="184"/>
      <c r="AH17" s="184"/>
      <c r="AI17" s="79"/>
      <c r="AL17" s="79"/>
    </row>
    <row r="18" spans="3:38">
      <c r="C18" s="184"/>
      <c r="D18" s="184"/>
      <c r="E18" s="79"/>
      <c r="F18" s="184"/>
      <c r="G18" s="184"/>
      <c r="H18" s="79"/>
      <c r="K18" s="79"/>
      <c r="N18" s="79"/>
      <c r="Q18" s="79"/>
      <c r="T18" s="79"/>
      <c r="W18" s="79"/>
      <c r="X18" s="184"/>
      <c r="Y18" s="184"/>
      <c r="Z18" s="79"/>
      <c r="AA18" s="184"/>
      <c r="AB18" s="184"/>
      <c r="AC18" s="79"/>
      <c r="AD18" s="184"/>
      <c r="AE18" s="184"/>
      <c r="AF18" s="79"/>
      <c r="AG18" s="184"/>
      <c r="AH18" s="184"/>
      <c r="AI18" s="79"/>
      <c r="AL18" s="79"/>
    </row>
    <row r="19" spans="3:38">
      <c r="C19" s="184"/>
      <c r="D19" s="184"/>
      <c r="E19" s="79"/>
      <c r="F19" s="184"/>
      <c r="G19" s="184"/>
      <c r="H19" s="79"/>
      <c r="K19" s="79"/>
      <c r="N19" s="79"/>
      <c r="Q19" s="79"/>
      <c r="T19" s="79"/>
      <c r="W19" s="79"/>
      <c r="X19" s="184"/>
      <c r="Y19" s="184"/>
      <c r="Z19" s="79"/>
      <c r="AA19" s="184"/>
      <c r="AB19" s="184"/>
      <c r="AC19" s="79"/>
      <c r="AD19" s="184"/>
      <c r="AE19" s="184"/>
      <c r="AF19" s="79"/>
      <c r="AG19" s="184"/>
      <c r="AH19" s="184"/>
      <c r="AI19" s="79"/>
      <c r="AL19" s="79"/>
    </row>
    <row r="20" spans="3:38">
      <c r="C20" s="184"/>
      <c r="D20" s="184"/>
      <c r="E20" s="79"/>
      <c r="F20" s="184"/>
      <c r="G20" s="184"/>
      <c r="H20" s="79"/>
      <c r="K20" s="79"/>
      <c r="N20" s="79"/>
      <c r="Q20" s="79"/>
      <c r="T20" s="79"/>
      <c r="W20" s="79"/>
      <c r="X20" s="184"/>
      <c r="Y20" s="184"/>
      <c r="Z20" s="79"/>
      <c r="AA20" s="184"/>
      <c r="AB20" s="184"/>
      <c r="AC20" s="79"/>
      <c r="AD20" s="184"/>
      <c r="AE20" s="184"/>
      <c r="AF20" s="79"/>
      <c r="AG20" s="184"/>
      <c r="AH20" s="184"/>
      <c r="AI20" s="79"/>
      <c r="AL20" s="79"/>
    </row>
    <row r="21" spans="3:38">
      <c r="C21" s="184"/>
      <c r="D21" s="184"/>
      <c r="E21" s="79"/>
      <c r="F21" s="184"/>
      <c r="G21" s="184"/>
      <c r="H21" s="79"/>
      <c r="K21" s="79"/>
      <c r="N21" s="79"/>
      <c r="Q21" s="79"/>
      <c r="T21" s="79"/>
      <c r="W21" s="79"/>
      <c r="Z21" s="79"/>
      <c r="AC21" s="79"/>
      <c r="AF21" s="79"/>
      <c r="AI21" s="79"/>
      <c r="AL21" s="79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P4:AQ4"/>
    <mergeCell ref="U4:V4"/>
    <mergeCell ref="X4:Y4"/>
    <mergeCell ref="AA4:AB4"/>
    <mergeCell ref="AD4:AE4"/>
    <mergeCell ref="AG4:AH4"/>
    <mergeCell ref="AJ4:AK4"/>
  </mergeCells>
  <pageMargins left="0.7" right="0.7" top="0.78740157499999996" bottom="0.78740157499999996" header="0.3" footer="0.3"/>
  <pageSetup paperSize="9" orientation="portrait" verticalDpi="0" r:id="rId1"/>
  <ignoredErrors>
    <ignoredError sqref="C10:D10 F10:G10 I10:J10 L10:M10 O10:P10 AD10:AE10 AG10:AH10 AJ10:AK10" formulaRange="1"/>
    <ignoredError sqref="E10 H10 K10 N10 Q10 T10 W10 Z10 AC10 AF10 AI10" formula="1"/>
    <ignoredError sqref="R10:S10 U10:V10 X10:Y10 AA10:AB10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E04A6-C3F5-4BD0-A9D7-E4DC032778B9}">
  <dimension ref="A1:AR28"/>
  <sheetViews>
    <sheetView topLeftCell="B1" zoomScaleNormal="100" workbookViewId="0">
      <pane xSplit="1" topLeftCell="AC1" activePane="topRight" state="frozen"/>
      <selection activeCell="B1" sqref="B1"/>
      <selection pane="topRight" activeCell="AM12" sqref="AM12"/>
    </sheetView>
  </sheetViews>
  <sheetFormatPr baseColWidth="10" defaultColWidth="11.42578125" defaultRowHeight="15"/>
  <cols>
    <col min="1" max="1" width="57" style="25" hidden="1" customWidth="1"/>
    <col min="2" max="2" width="19.28515625" style="25" customWidth="1"/>
    <col min="3" max="3" width="8.7109375" style="25" customWidth="1"/>
    <col min="4" max="4" width="9" style="25" customWidth="1"/>
    <col min="5" max="5" width="11.5703125" style="25" customWidth="1"/>
    <col min="6" max="6" width="9.140625" style="25" customWidth="1"/>
    <col min="7" max="7" width="10.140625" style="25" customWidth="1"/>
    <col min="8" max="8" width="10.85546875" style="25" customWidth="1"/>
    <col min="9" max="9" width="9.7109375" style="25" customWidth="1"/>
    <col min="10" max="10" width="9.42578125" style="25" customWidth="1"/>
    <col min="11" max="12" width="10" style="25" customWidth="1"/>
    <col min="13" max="13" width="9.7109375" style="25" customWidth="1"/>
    <col min="14" max="14" width="11.140625" style="25" customWidth="1"/>
    <col min="15" max="15" width="8.85546875" style="25" customWidth="1"/>
    <col min="16" max="16" width="10.42578125" style="25" customWidth="1"/>
    <col min="17" max="17" width="10.140625" style="25" bestFit="1" customWidth="1"/>
    <col min="18" max="18" width="10.42578125" style="25" customWidth="1"/>
    <col min="19" max="19" width="11.42578125" style="25" customWidth="1"/>
    <col min="20" max="20" width="11.42578125" style="25"/>
    <col min="21" max="21" width="10.42578125" style="25" customWidth="1"/>
    <col min="22" max="22" width="10.5703125" style="25" customWidth="1"/>
    <col min="23" max="25" width="11.42578125" style="25"/>
    <col min="26" max="26" width="11.28515625" style="25" customWidth="1"/>
    <col min="27" max="16384" width="11.42578125" style="25"/>
  </cols>
  <sheetData>
    <row r="1" spans="2:44">
      <c r="B1" s="10" t="s">
        <v>64</v>
      </c>
    </row>
    <row r="2" spans="2:44">
      <c r="B2" s="53"/>
      <c r="S2" s="27"/>
    </row>
    <row r="4" spans="2:44" ht="45" customHeight="1">
      <c r="B4" s="11"/>
      <c r="C4" s="233" t="s">
        <v>8</v>
      </c>
      <c r="D4" s="233"/>
      <c r="E4" s="35" t="s">
        <v>30</v>
      </c>
      <c r="F4" s="233" t="s">
        <v>9</v>
      </c>
      <c r="G4" s="233"/>
      <c r="H4" s="29" t="s">
        <v>30</v>
      </c>
      <c r="I4" s="233" t="s">
        <v>10</v>
      </c>
      <c r="J4" s="233"/>
      <c r="K4" s="29" t="s">
        <v>30</v>
      </c>
      <c r="L4" s="233" t="s">
        <v>11</v>
      </c>
      <c r="M4" s="233"/>
      <c r="N4" s="28" t="s">
        <v>30</v>
      </c>
      <c r="O4" s="233" t="s">
        <v>0</v>
      </c>
      <c r="P4" s="233"/>
      <c r="Q4" s="29" t="s">
        <v>30</v>
      </c>
      <c r="R4" s="233" t="s">
        <v>1</v>
      </c>
      <c r="S4" s="233"/>
      <c r="T4" s="28" t="s">
        <v>30</v>
      </c>
      <c r="U4" s="231" t="s">
        <v>2</v>
      </c>
      <c r="V4" s="232"/>
      <c r="W4" s="28" t="s">
        <v>30</v>
      </c>
      <c r="X4" s="233" t="s">
        <v>12</v>
      </c>
      <c r="Y4" s="233"/>
      <c r="Z4" s="28" t="s">
        <v>30</v>
      </c>
      <c r="AA4" s="231" t="s">
        <v>13</v>
      </c>
      <c r="AB4" s="234"/>
      <c r="AC4" s="28" t="s">
        <v>30</v>
      </c>
      <c r="AD4" s="231" t="s">
        <v>14</v>
      </c>
      <c r="AE4" s="232"/>
      <c r="AF4" s="30" t="s">
        <v>30</v>
      </c>
      <c r="AG4" s="231" t="s">
        <v>15</v>
      </c>
      <c r="AH4" s="234"/>
      <c r="AI4" s="28" t="s">
        <v>30</v>
      </c>
      <c r="AJ4" s="231" t="s">
        <v>16</v>
      </c>
      <c r="AK4" s="234"/>
      <c r="AL4" s="30" t="s">
        <v>30</v>
      </c>
      <c r="AM4" s="231" t="s">
        <v>29</v>
      </c>
      <c r="AN4" s="232"/>
      <c r="AO4" s="237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8" t="s">
        <v>34</v>
      </c>
      <c r="I5" s="12">
        <v>2019</v>
      </c>
      <c r="J5" s="12">
        <v>2020</v>
      </c>
      <c r="K5" s="28" t="s">
        <v>34</v>
      </c>
      <c r="L5" s="12">
        <v>2019</v>
      </c>
      <c r="M5" s="12">
        <v>2020</v>
      </c>
      <c r="N5" s="28" t="s">
        <v>34</v>
      </c>
      <c r="O5" s="12">
        <v>2019</v>
      </c>
      <c r="P5" s="12">
        <v>2020</v>
      </c>
      <c r="Q5" s="28" t="s">
        <v>34</v>
      </c>
      <c r="R5" s="12">
        <v>2019</v>
      </c>
      <c r="S5" s="12">
        <v>2020</v>
      </c>
      <c r="T5" s="28" t="s">
        <v>34</v>
      </c>
      <c r="U5" s="12">
        <v>2019</v>
      </c>
      <c r="V5" s="12">
        <v>2020</v>
      </c>
      <c r="W5" s="28" t="s">
        <v>34</v>
      </c>
      <c r="X5" s="12">
        <v>2019</v>
      </c>
      <c r="Y5" s="12">
        <v>2020</v>
      </c>
      <c r="Z5" s="28" t="s">
        <v>34</v>
      </c>
      <c r="AA5" s="12">
        <v>2019</v>
      </c>
      <c r="AB5" s="12">
        <v>2020</v>
      </c>
      <c r="AC5" s="28" t="s">
        <v>34</v>
      </c>
      <c r="AD5" s="12">
        <v>2019</v>
      </c>
      <c r="AE5" s="12">
        <v>2020</v>
      </c>
      <c r="AF5" s="30" t="s">
        <v>34</v>
      </c>
      <c r="AG5" s="12">
        <v>2019</v>
      </c>
      <c r="AH5" s="12">
        <v>2020</v>
      </c>
      <c r="AI5" s="28" t="s">
        <v>34</v>
      </c>
      <c r="AJ5" s="12">
        <v>2019</v>
      </c>
      <c r="AK5" s="12">
        <v>2020</v>
      </c>
      <c r="AL5" s="28" t="s">
        <v>34</v>
      </c>
      <c r="AM5" s="12">
        <v>2019</v>
      </c>
      <c r="AN5" s="12">
        <v>2020</v>
      </c>
      <c r="AO5" s="238"/>
    </row>
    <row r="6" spans="2:44">
      <c r="B6" s="20" t="s">
        <v>6</v>
      </c>
      <c r="C6" s="40">
        <v>3565</v>
      </c>
      <c r="D6" s="40">
        <v>3709</v>
      </c>
      <c r="E6" s="62">
        <f>(D6-C6)/C6</f>
        <v>4.0392706872370267E-2</v>
      </c>
      <c r="F6" s="40">
        <v>3559</v>
      </c>
      <c r="G6" s="40">
        <v>3576</v>
      </c>
      <c r="H6" s="62">
        <f>(G6-F6)/F6</f>
        <v>4.776622646810902E-3</v>
      </c>
      <c r="I6" s="40">
        <v>5049</v>
      </c>
      <c r="J6" s="40">
        <v>2716</v>
      </c>
      <c r="K6" s="62">
        <f>(J6-I6)/I6</f>
        <v>-0.46207169736581499</v>
      </c>
      <c r="L6" s="40">
        <v>8650</v>
      </c>
      <c r="M6" s="40">
        <v>1077</v>
      </c>
      <c r="N6" s="62">
        <f>(M6-L6)/L6</f>
        <v>-0.87549132947976882</v>
      </c>
      <c r="O6" s="40">
        <v>9161</v>
      </c>
      <c r="P6" s="40">
        <v>2177</v>
      </c>
      <c r="Q6" s="62">
        <f>(P6-O6)/O6</f>
        <v>-0.762362187534112</v>
      </c>
      <c r="R6" s="40">
        <v>8235</v>
      </c>
      <c r="S6" s="40">
        <v>4150</v>
      </c>
      <c r="T6" s="62">
        <f>(S6-R6)/R6</f>
        <v>-0.49605343047966</v>
      </c>
      <c r="U6" s="40">
        <v>6212</v>
      </c>
      <c r="V6" s="66">
        <v>5132</v>
      </c>
      <c r="W6" s="62">
        <f>(V6-U6)/U6</f>
        <v>-0.17385705086928527</v>
      </c>
      <c r="X6" s="66">
        <v>3417</v>
      </c>
      <c r="Y6" s="65">
        <v>2599</v>
      </c>
      <c r="Z6" s="62">
        <f>(Y6-X6)/X6</f>
        <v>-0.23939127889961956</v>
      </c>
      <c r="AA6" s="66">
        <v>3550</v>
      </c>
      <c r="AB6" s="66">
        <v>3097</v>
      </c>
      <c r="AC6" s="62">
        <f>(AB6-AA6)/AA6</f>
        <v>-0.12760563380281689</v>
      </c>
      <c r="AD6" s="40">
        <v>4081</v>
      </c>
      <c r="AE6" s="66">
        <v>3102</v>
      </c>
      <c r="AF6" s="62">
        <f>(AE6-AD6)/AD6</f>
        <v>-0.23989218328840969</v>
      </c>
      <c r="AG6" s="40">
        <v>3437</v>
      </c>
      <c r="AH6" s="66">
        <v>2671</v>
      </c>
      <c r="AI6" s="62">
        <f>(AH6-AG6)/AG6</f>
        <v>-0.22286878091358744</v>
      </c>
      <c r="AJ6" s="68">
        <v>4061</v>
      </c>
      <c r="AK6" s="66">
        <v>2051</v>
      </c>
      <c r="AL6" s="62">
        <f>(AK6-AJ6)/AJ6</f>
        <v>-0.49495198227037673</v>
      </c>
      <c r="AM6" s="67">
        <f t="shared" ref="AM6:AN10" si="0">C6+F6+I6+L6+O6+R6+U6+X6+AA6+AD6+AG6+AJ6</f>
        <v>62977</v>
      </c>
      <c r="AN6" s="67">
        <f t="shared" si="0"/>
        <v>36057</v>
      </c>
      <c r="AO6" s="42">
        <f>(AN6-AM6)/AM6</f>
        <v>-0.42745764326658942</v>
      </c>
    </row>
    <row r="7" spans="2:44">
      <c r="B7" s="20" t="s">
        <v>3</v>
      </c>
      <c r="C7" s="40">
        <v>847</v>
      </c>
      <c r="D7" s="40">
        <v>644</v>
      </c>
      <c r="E7" s="62">
        <f>(D7-C7)/C7</f>
        <v>-0.23966942148760331</v>
      </c>
      <c r="F7" s="40">
        <v>635</v>
      </c>
      <c r="G7" s="40">
        <v>732</v>
      </c>
      <c r="H7" s="62">
        <f>(G7-F7)/F7</f>
        <v>0.15275590551181104</v>
      </c>
      <c r="I7" s="40">
        <v>756</v>
      </c>
      <c r="J7" s="40">
        <v>539</v>
      </c>
      <c r="K7" s="62">
        <f>(J7-I7)/I7</f>
        <v>-0.28703703703703703</v>
      </c>
      <c r="L7" s="40">
        <v>911</v>
      </c>
      <c r="M7" s="27">
        <v>287</v>
      </c>
      <c r="N7" s="62">
        <f>(M7-L7)/L7</f>
        <v>-0.68496158068057078</v>
      </c>
      <c r="O7" s="40">
        <v>998</v>
      </c>
      <c r="P7" s="40">
        <v>452</v>
      </c>
      <c r="Q7" s="62">
        <f>(P7-O7)/O7</f>
        <v>-0.5470941883767535</v>
      </c>
      <c r="R7" s="40">
        <v>878</v>
      </c>
      <c r="S7" s="40">
        <v>583</v>
      </c>
      <c r="T7" s="62">
        <f>(S7-R7)/R7</f>
        <v>-0.33599088838268792</v>
      </c>
      <c r="U7" s="40">
        <v>830</v>
      </c>
      <c r="V7" s="66">
        <v>604</v>
      </c>
      <c r="W7" s="62">
        <f>(V7-U7)/U7</f>
        <v>-0.27228915662650605</v>
      </c>
      <c r="X7" s="66">
        <v>544</v>
      </c>
      <c r="Y7" s="65">
        <v>599</v>
      </c>
      <c r="Z7" s="62">
        <f>(Y7-X7)/X7</f>
        <v>0.10110294117647059</v>
      </c>
      <c r="AA7" s="66">
        <v>674</v>
      </c>
      <c r="AB7" s="66">
        <v>736</v>
      </c>
      <c r="AC7" s="62">
        <f>(AB7-AA7)/AA7</f>
        <v>9.1988130563798218E-2</v>
      </c>
      <c r="AD7" s="40">
        <v>706</v>
      </c>
      <c r="AE7" s="66">
        <v>536</v>
      </c>
      <c r="AF7" s="62">
        <f>(AE7-AD7)/AD7</f>
        <v>-0.24079320113314448</v>
      </c>
      <c r="AG7" s="40">
        <v>706</v>
      </c>
      <c r="AH7" s="66">
        <v>881</v>
      </c>
      <c r="AI7" s="62">
        <f>(AH7-AG7)/AG7</f>
        <v>0.24787535410764872</v>
      </c>
      <c r="AJ7" s="68">
        <v>649</v>
      </c>
      <c r="AK7" s="66">
        <v>423</v>
      </c>
      <c r="AL7" s="62">
        <f>(AK7-AJ7)/AJ7</f>
        <v>-0.34822804314329736</v>
      </c>
      <c r="AM7" s="67">
        <f t="shared" si="0"/>
        <v>9134</v>
      </c>
      <c r="AN7" s="67">
        <f t="shared" si="0"/>
        <v>7016</v>
      </c>
      <c r="AO7" s="42">
        <f>(AN7-AM7)/AM7</f>
        <v>-0.23188088460696299</v>
      </c>
    </row>
    <row r="8" spans="2:44">
      <c r="B8" s="20" t="s">
        <v>4</v>
      </c>
      <c r="C8" s="40">
        <v>149</v>
      </c>
      <c r="D8" s="40">
        <v>101</v>
      </c>
      <c r="E8" s="62">
        <f>(D8-C8)/C8</f>
        <v>-0.32214765100671139</v>
      </c>
      <c r="F8" s="40">
        <v>106</v>
      </c>
      <c r="G8" s="40">
        <v>74</v>
      </c>
      <c r="H8" s="62">
        <f>(G8-F8)/F8</f>
        <v>-0.30188679245283018</v>
      </c>
      <c r="I8" s="40">
        <v>110</v>
      </c>
      <c r="J8" s="40">
        <v>62</v>
      </c>
      <c r="K8" s="62">
        <f>(J8-I8)/I8</f>
        <v>-0.43636363636363634</v>
      </c>
      <c r="L8" s="40">
        <v>115</v>
      </c>
      <c r="M8" s="40">
        <v>72</v>
      </c>
      <c r="N8" s="62">
        <f>(M8-L8)/L8</f>
        <v>-0.37391304347826088</v>
      </c>
      <c r="O8" s="40">
        <v>185</v>
      </c>
      <c r="P8" s="40">
        <v>62</v>
      </c>
      <c r="Q8" s="62">
        <f>(P8-O8)/O8</f>
        <v>-0.66486486486486485</v>
      </c>
      <c r="R8" s="40">
        <v>238</v>
      </c>
      <c r="S8" s="11">
        <v>64</v>
      </c>
      <c r="T8" s="62">
        <f>(S8-R8)/R8</f>
        <v>-0.73109243697478987</v>
      </c>
      <c r="U8" s="40">
        <v>115</v>
      </c>
      <c r="V8" s="66">
        <v>115</v>
      </c>
      <c r="W8" s="62">
        <f>(V8-U8)/U8</f>
        <v>0</v>
      </c>
      <c r="X8" s="66">
        <v>100</v>
      </c>
      <c r="Y8" s="65">
        <v>57</v>
      </c>
      <c r="Z8" s="62">
        <f>(Y8-X8)/X8</f>
        <v>-0.43</v>
      </c>
      <c r="AA8" s="66">
        <v>71</v>
      </c>
      <c r="AB8" s="66">
        <v>60</v>
      </c>
      <c r="AC8" s="62">
        <f>(AB8-AA8)/AA8</f>
        <v>-0.15492957746478872</v>
      </c>
      <c r="AD8" s="40">
        <v>125</v>
      </c>
      <c r="AE8" s="66">
        <v>69</v>
      </c>
      <c r="AF8" s="62">
        <f>(AE8-AD8)/AD8</f>
        <v>-0.44800000000000001</v>
      </c>
      <c r="AG8" s="40">
        <v>45</v>
      </c>
      <c r="AH8" s="66">
        <v>75</v>
      </c>
      <c r="AI8" s="62">
        <f>(AH8-AG8)/AG8</f>
        <v>0.66666666666666663</v>
      </c>
      <c r="AJ8" s="68">
        <v>92</v>
      </c>
      <c r="AK8" s="66">
        <v>84</v>
      </c>
      <c r="AL8" s="62">
        <f>(AK8-AJ8)/AJ8</f>
        <v>-8.6956521739130432E-2</v>
      </c>
      <c r="AM8" s="67">
        <f t="shared" si="0"/>
        <v>1451</v>
      </c>
      <c r="AN8" s="67">
        <f t="shared" si="0"/>
        <v>895</v>
      </c>
      <c r="AO8" s="42">
        <f>(AN8-AM8)/AM8</f>
        <v>-0.38318401102687799</v>
      </c>
    </row>
    <row r="9" spans="2:44">
      <c r="B9" s="20" t="s">
        <v>5</v>
      </c>
      <c r="C9" s="40">
        <v>17</v>
      </c>
      <c r="D9" s="40">
        <v>12</v>
      </c>
      <c r="E9" s="62">
        <f>(D9-C9)/C9</f>
        <v>-0.29411764705882354</v>
      </c>
      <c r="F9" s="40">
        <v>12</v>
      </c>
      <c r="G9" s="40">
        <v>10</v>
      </c>
      <c r="H9" s="62">
        <f>(G9-F9)/F9</f>
        <v>-0.16666666666666666</v>
      </c>
      <c r="I9" s="40">
        <v>18</v>
      </c>
      <c r="J9" s="40">
        <v>4</v>
      </c>
      <c r="K9" s="62">
        <f>(J9-I9)/I9</f>
        <v>-0.77777777777777779</v>
      </c>
      <c r="L9" s="40">
        <v>71</v>
      </c>
      <c r="M9" s="40">
        <v>0</v>
      </c>
      <c r="N9" s="62">
        <f>(M9-L9)/L9</f>
        <v>-1</v>
      </c>
      <c r="O9" s="40">
        <v>27</v>
      </c>
      <c r="P9" s="40">
        <v>0</v>
      </c>
      <c r="Q9" s="62">
        <f>(P9-O9)/O9</f>
        <v>-1</v>
      </c>
      <c r="R9" s="11">
        <v>33</v>
      </c>
      <c r="S9" s="11">
        <v>0</v>
      </c>
      <c r="T9" s="62">
        <f>(S9-R9)/R9</f>
        <v>-1</v>
      </c>
      <c r="U9" s="11">
        <v>26</v>
      </c>
      <c r="V9" s="66">
        <v>53</v>
      </c>
      <c r="W9" s="62">
        <f>(V9-U9)/U9</f>
        <v>1.0384615384615385</v>
      </c>
      <c r="X9" s="66">
        <v>29</v>
      </c>
      <c r="Y9" s="65">
        <v>22</v>
      </c>
      <c r="Z9" s="62">
        <f>(Y9-X9)/X9</f>
        <v>-0.2413793103448276</v>
      </c>
      <c r="AA9" s="81">
        <v>26</v>
      </c>
      <c r="AB9" s="66">
        <v>1</v>
      </c>
      <c r="AC9" s="62">
        <f>(AB9-AA9)/AA9</f>
        <v>-0.96153846153846156</v>
      </c>
      <c r="AD9" s="27">
        <v>15</v>
      </c>
      <c r="AE9" s="66">
        <v>1</v>
      </c>
      <c r="AF9" s="62">
        <f>(AE9-AD9)/AD9</f>
        <v>-0.93333333333333335</v>
      </c>
      <c r="AG9" s="27">
        <v>25</v>
      </c>
      <c r="AH9" s="66">
        <v>9</v>
      </c>
      <c r="AI9" s="62">
        <f>(AH9-AG9)/AG9</f>
        <v>-0.64</v>
      </c>
      <c r="AJ9" s="46">
        <v>1</v>
      </c>
      <c r="AK9" s="66">
        <v>2</v>
      </c>
      <c r="AL9" s="62">
        <f>(AK9-AJ9)/AJ9</f>
        <v>1</v>
      </c>
      <c r="AM9" s="67">
        <f t="shared" si="0"/>
        <v>300</v>
      </c>
      <c r="AN9" s="67">
        <f t="shared" si="0"/>
        <v>114</v>
      </c>
      <c r="AO9" s="42">
        <f>(AN9-AM9)/AM9</f>
        <v>-0.62</v>
      </c>
    </row>
    <row r="10" spans="2:44" s="10" customFormat="1">
      <c r="B10" s="47" t="s">
        <v>7</v>
      </c>
      <c r="C10" s="16">
        <f>SUM(C6:C9)</f>
        <v>4578</v>
      </c>
      <c r="D10" s="16">
        <f>SUM(D6:D9)</f>
        <v>4466</v>
      </c>
      <c r="E10" s="63">
        <f>(D10-C10)/C10</f>
        <v>-2.4464831804281346E-2</v>
      </c>
      <c r="F10" s="16">
        <f>SUM(F6:F9)</f>
        <v>4312</v>
      </c>
      <c r="G10" s="16">
        <f>SUM(G6:G9)</f>
        <v>4392</v>
      </c>
      <c r="H10" s="63">
        <f>(G10-F10)/F10</f>
        <v>1.8552875695732839E-2</v>
      </c>
      <c r="I10" s="16">
        <f>SUM(I6:I9)</f>
        <v>5933</v>
      </c>
      <c r="J10" s="16">
        <f>SUM(J6:J9)</f>
        <v>3321</v>
      </c>
      <c r="K10" s="63">
        <f>(J10-I10)/I10</f>
        <v>-0.44024945221641665</v>
      </c>
      <c r="L10" s="187">
        <f>SUM(L6:L9)</f>
        <v>9747</v>
      </c>
      <c r="M10" s="16">
        <f>SUM(M6:M9)</f>
        <v>1436</v>
      </c>
      <c r="N10" s="63">
        <f>(M10-L10)/L10</f>
        <v>-0.85267261721555354</v>
      </c>
      <c r="O10" s="16">
        <f>SUM(O6:O9)</f>
        <v>10371</v>
      </c>
      <c r="P10" s="16">
        <f>SUM(P6:P9)</f>
        <v>2691</v>
      </c>
      <c r="Q10" s="63">
        <f>(P10-O10)/O10</f>
        <v>-0.7405264680358693</v>
      </c>
      <c r="R10" s="16">
        <f>SUM(R6:R9)</f>
        <v>9384</v>
      </c>
      <c r="S10" s="16">
        <f>SUM(S6:S9)</f>
        <v>4797</v>
      </c>
      <c r="T10" s="63">
        <f>(S10-R10)/R10</f>
        <v>-0.48881074168797956</v>
      </c>
      <c r="U10" s="67">
        <f>SUM(U6:U9)</f>
        <v>7183</v>
      </c>
      <c r="V10" s="67">
        <f>SUM(V6:V9)</f>
        <v>5904</v>
      </c>
      <c r="W10" s="63">
        <f>(V10-U10)/U10</f>
        <v>-0.17805930669636641</v>
      </c>
      <c r="X10" s="67">
        <f>SUM(X6:X9)</f>
        <v>4090</v>
      </c>
      <c r="Y10" s="67">
        <f>SUM(Y6:Y9)</f>
        <v>3277</v>
      </c>
      <c r="Z10" s="63">
        <f>(Y10-X10)/X10</f>
        <v>-0.19877750611246944</v>
      </c>
      <c r="AA10" s="67">
        <f>SUM(AA6:AA9)</f>
        <v>4321</v>
      </c>
      <c r="AB10" s="67">
        <f>SUM(AB6:AB9)</f>
        <v>3894</v>
      </c>
      <c r="AC10" s="63">
        <f>(AB10-AA10)/AA10</f>
        <v>-9.8819717657949543E-2</v>
      </c>
      <c r="AD10" s="67">
        <f>SUM(AD6:AD9)</f>
        <v>4927</v>
      </c>
      <c r="AE10" s="67">
        <f>SUM(AE6:AE9)</f>
        <v>3708</v>
      </c>
      <c r="AF10" s="63">
        <f>(AE10-AD10)/AD10</f>
        <v>-0.24741221838847169</v>
      </c>
      <c r="AG10" s="187">
        <f>SUM(AG6:AG9)</f>
        <v>4213</v>
      </c>
      <c r="AH10" s="187">
        <f>SUM(AH6:AH9)</f>
        <v>3636</v>
      </c>
      <c r="AI10" s="63">
        <f>(AH10-AG10)/AG10</f>
        <v>-0.13695703774032755</v>
      </c>
      <c r="AJ10" s="187">
        <f>SUM(AJ6:AJ9)</f>
        <v>4803</v>
      </c>
      <c r="AK10" s="187">
        <f>SUM(AK6:AK9)</f>
        <v>2560</v>
      </c>
      <c r="AL10" s="63">
        <f>(AK10-AJ10)/AJ10</f>
        <v>-0.46699979179679368</v>
      </c>
      <c r="AM10" s="67">
        <f t="shared" si="0"/>
        <v>73862</v>
      </c>
      <c r="AN10" s="67">
        <f t="shared" si="0"/>
        <v>44082</v>
      </c>
      <c r="AO10" s="39">
        <f>(AN10-AM10)/AM10</f>
        <v>-0.40318431669870841</v>
      </c>
      <c r="AQ10" s="25"/>
      <c r="AR10" s="24"/>
    </row>
    <row r="12" spans="2:44">
      <c r="B12" s="25" t="s">
        <v>65</v>
      </c>
      <c r="AM12" s="184"/>
    </row>
    <row r="13" spans="2:44">
      <c r="W13" s="26"/>
      <c r="X13" s="26"/>
      <c r="Y13" s="26"/>
      <c r="Z13" s="26"/>
      <c r="AA13" s="26"/>
      <c r="AB13" s="26"/>
      <c r="AC13" s="26"/>
      <c r="AD13" s="26"/>
      <c r="AE13" s="26"/>
      <c r="AF13" s="64"/>
      <c r="AG13" s="64"/>
      <c r="AH13" s="64"/>
      <c r="AI13" s="64"/>
      <c r="AJ13" s="64"/>
      <c r="AK13" s="64"/>
      <c r="AL13" s="64"/>
    </row>
    <row r="14" spans="2:44">
      <c r="C14" s="26"/>
      <c r="D14" s="26"/>
      <c r="E14" s="26"/>
      <c r="F14" s="26"/>
      <c r="G14" s="26"/>
      <c r="AF14" s="64"/>
      <c r="AG14" s="64"/>
      <c r="AH14" s="184"/>
      <c r="AI14" s="184"/>
      <c r="AJ14" s="184"/>
      <c r="AK14" s="184"/>
      <c r="AL14" s="184"/>
      <c r="AM14" s="184"/>
    </row>
    <row r="15" spans="2:44">
      <c r="S15" s="64"/>
      <c r="T15" s="81"/>
      <c r="U15" s="64"/>
      <c r="V15" s="64"/>
      <c r="W15" s="64"/>
      <c r="X15" s="64"/>
      <c r="Y15" s="27"/>
      <c r="Z15" s="27"/>
      <c r="AA15" s="27"/>
      <c r="AB15" s="27"/>
      <c r="AC15" s="27"/>
      <c r="AD15" s="27"/>
      <c r="AE15" s="27"/>
      <c r="AF15" s="64"/>
      <c r="AG15" s="64"/>
      <c r="AH15" s="184"/>
      <c r="AI15" s="184"/>
      <c r="AJ15" s="184"/>
      <c r="AK15" s="184"/>
      <c r="AL15" s="184"/>
      <c r="AM15" s="184"/>
    </row>
    <row r="16" spans="2:44">
      <c r="C16" s="27"/>
      <c r="D16" s="27"/>
      <c r="E16" s="27"/>
      <c r="F16" s="27"/>
      <c r="G16" s="27"/>
      <c r="S16" s="57"/>
      <c r="T16" s="57"/>
      <c r="U16" s="57"/>
      <c r="V16" s="57"/>
      <c r="W16" s="57"/>
      <c r="X16" s="57"/>
      <c r="Y16" s="81"/>
      <c r="Z16" s="81"/>
      <c r="AA16" s="81"/>
      <c r="AB16" s="81"/>
      <c r="AC16" s="64"/>
      <c r="AD16" s="81"/>
      <c r="AE16" s="27"/>
      <c r="AF16" s="64"/>
      <c r="AG16" s="64"/>
      <c r="AH16" s="184"/>
      <c r="AI16" s="184"/>
      <c r="AJ16" s="184"/>
      <c r="AK16" s="184"/>
      <c r="AL16" s="184"/>
      <c r="AM16" s="184"/>
    </row>
    <row r="17" spans="3:39">
      <c r="C17" s="27"/>
      <c r="D17" s="27"/>
      <c r="E17" s="27"/>
      <c r="F17" s="27"/>
      <c r="G17" s="27"/>
      <c r="S17" s="130"/>
      <c r="T17" s="130"/>
      <c r="U17" s="126"/>
      <c r="V17" s="130"/>
      <c r="W17" s="130"/>
      <c r="X17" s="126"/>
      <c r="Y17" s="81"/>
      <c r="Z17" s="81"/>
      <c r="AA17" s="81"/>
      <c r="AB17" s="81"/>
      <c r="AC17" s="64"/>
      <c r="AD17" s="81"/>
      <c r="AE17" s="27"/>
      <c r="AF17" s="64"/>
      <c r="AG17" s="64"/>
      <c r="AH17" s="184"/>
      <c r="AI17" s="184"/>
      <c r="AJ17" s="184"/>
      <c r="AK17" s="184"/>
      <c r="AL17" s="184"/>
      <c r="AM17" s="184"/>
    </row>
    <row r="18" spans="3:39">
      <c r="C18" s="27"/>
      <c r="D18" s="27"/>
      <c r="E18" s="27"/>
      <c r="F18" s="27"/>
      <c r="G18" s="27"/>
      <c r="S18" s="131"/>
      <c r="T18" s="131"/>
      <c r="U18" s="132"/>
      <c r="V18" s="131"/>
      <c r="W18" s="131"/>
      <c r="X18" s="132"/>
      <c r="Y18" s="64"/>
      <c r="Z18" s="64"/>
      <c r="AA18" s="64"/>
      <c r="AB18" s="64"/>
      <c r="AC18" s="64"/>
      <c r="AD18" s="64"/>
      <c r="AE18" s="27"/>
      <c r="AF18" s="64"/>
      <c r="AG18" s="64"/>
      <c r="AH18" s="184"/>
      <c r="AI18" s="184"/>
      <c r="AJ18" s="184"/>
      <c r="AK18" s="184"/>
      <c r="AL18" s="184"/>
      <c r="AM18" s="184"/>
    </row>
    <row r="19" spans="3:39">
      <c r="C19" s="27"/>
      <c r="D19" s="27"/>
      <c r="E19" s="27"/>
      <c r="F19" s="27"/>
      <c r="G19" s="27"/>
      <c r="S19" s="56"/>
      <c r="T19" s="56"/>
      <c r="U19" s="127"/>
      <c r="V19" s="56"/>
      <c r="W19" s="56"/>
      <c r="X19" s="127"/>
      <c r="Y19" s="64"/>
      <c r="Z19" s="64"/>
      <c r="AA19" s="64"/>
      <c r="AB19" s="64"/>
      <c r="AC19" s="64"/>
      <c r="AD19" s="64"/>
      <c r="AE19" s="27"/>
      <c r="AF19" s="64"/>
      <c r="AG19" s="64"/>
      <c r="AH19" s="184"/>
      <c r="AI19" s="184"/>
      <c r="AJ19" s="184"/>
      <c r="AK19" s="184"/>
      <c r="AL19" s="184"/>
      <c r="AM19" s="184"/>
    </row>
    <row r="20" spans="3:39">
      <c r="C20" s="27"/>
      <c r="D20" s="27"/>
      <c r="E20" s="27"/>
      <c r="F20" s="27"/>
      <c r="G20" s="27"/>
      <c r="S20" s="56"/>
      <c r="T20" s="56"/>
      <c r="U20" s="127"/>
      <c r="V20" s="56"/>
      <c r="W20" s="57"/>
      <c r="X20" s="127"/>
      <c r="Y20" s="64"/>
      <c r="Z20" s="64"/>
      <c r="AA20" s="64"/>
      <c r="AB20" s="64"/>
      <c r="AC20" s="64"/>
      <c r="AD20" s="64"/>
      <c r="AE20" s="27"/>
      <c r="AF20" s="64"/>
      <c r="AG20" s="64"/>
      <c r="AH20" s="184"/>
      <c r="AI20" s="184"/>
      <c r="AJ20" s="184"/>
      <c r="AK20" s="184"/>
      <c r="AL20" s="184"/>
      <c r="AM20" s="184"/>
    </row>
    <row r="21" spans="3:39">
      <c r="C21" s="27"/>
      <c r="D21" s="27"/>
      <c r="E21" s="27"/>
      <c r="F21" s="27"/>
      <c r="G21" s="27"/>
      <c r="S21" s="56"/>
      <c r="T21" s="57"/>
      <c r="U21" s="127"/>
      <c r="V21" s="56"/>
      <c r="W21" s="57"/>
      <c r="X21" s="127"/>
      <c r="Y21" s="64"/>
      <c r="Z21" s="64"/>
      <c r="AA21" s="64"/>
      <c r="AB21" s="64"/>
      <c r="AC21" s="64"/>
      <c r="AD21" s="64"/>
      <c r="AF21" s="64"/>
      <c r="AG21" s="64"/>
      <c r="AH21" s="184"/>
      <c r="AI21" s="184"/>
      <c r="AJ21" s="184"/>
      <c r="AK21" s="184"/>
      <c r="AL21" s="184"/>
      <c r="AM21" s="184"/>
    </row>
    <row r="22" spans="3:39">
      <c r="S22" s="56"/>
      <c r="T22" s="56"/>
      <c r="U22" s="127"/>
      <c r="V22" s="56"/>
      <c r="W22" s="56"/>
      <c r="X22" s="127"/>
      <c r="Y22" s="64"/>
      <c r="Z22" s="64"/>
      <c r="AA22" s="64"/>
      <c r="AB22" s="64"/>
      <c r="AC22" s="64"/>
      <c r="AD22" s="64"/>
      <c r="AF22" s="64"/>
      <c r="AG22" s="64"/>
      <c r="AH22" s="64"/>
      <c r="AI22" s="64"/>
      <c r="AJ22" s="64"/>
      <c r="AK22" s="64"/>
      <c r="AL22" s="64"/>
    </row>
    <row r="23" spans="3:39">
      <c r="S23" s="128"/>
      <c r="T23" s="128"/>
      <c r="U23" s="129"/>
      <c r="V23" s="128"/>
      <c r="W23" s="128"/>
      <c r="X23" s="129"/>
      <c r="Y23" s="64"/>
      <c r="Z23" s="64"/>
      <c r="AA23" s="64"/>
      <c r="AB23" s="64"/>
      <c r="AC23" s="64"/>
      <c r="AD23" s="64"/>
      <c r="AF23" s="64"/>
      <c r="AG23" s="64"/>
      <c r="AH23" s="64"/>
      <c r="AI23" s="64"/>
      <c r="AJ23" s="64"/>
      <c r="AK23" s="64"/>
      <c r="AL23" s="64"/>
    </row>
    <row r="24" spans="3:39">
      <c r="S24" s="57"/>
      <c r="T24" s="57"/>
      <c r="U24" s="57"/>
      <c r="V24" s="57"/>
      <c r="W24" s="57"/>
      <c r="X24" s="57"/>
      <c r="Y24" s="64"/>
      <c r="Z24" s="64"/>
      <c r="AA24" s="64"/>
      <c r="AB24" s="64"/>
      <c r="AC24" s="64"/>
      <c r="AD24" s="64"/>
      <c r="AF24" s="64"/>
      <c r="AG24" s="64"/>
      <c r="AH24" s="64"/>
      <c r="AI24" s="64"/>
      <c r="AJ24" s="64"/>
      <c r="AK24" s="64"/>
      <c r="AL24" s="64"/>
    </row>
    <row r="25" spans="3:39">
      <c r="Y25" s="64"/>
      <c r="Z25" s="64"/>
      <c r="AA25" s="64"/>
      <c r="AB25" s="64"/>
      <c r="AC25" s="64"/>
      <c r="AD25" s="64"/>
      <c r="AF25" s="64"/>
      <c r="AG25" s="64"/>
      <c r="AH25" s="64"/>
      <c r="AI25" s="64"/>
      <c r="AJ25" s="64"/>
      <c r="AK25" s="64"/>
      <c r="AL25" s="64"/>
    </row>
    <row r="26" spans="3:39">
      <c r="Y26" s="81"/>
      <c r="Z26" s="81"/>
      <c r="AA26" s="81"/>
      <c r="AB26" s="81"/>
      <c r="AC26" s="64"/>
      <c r="AD26" s="81"/>
    </row>
    <row r="27" spans="3:39">
      <c r="Y27" s="81"/>
      <c r="Z27" s="81"/>
      <c r="AA27" s="81"/>
      <c r="AB27" s="81"/>
      <c r="AC27" s="64"/>
      <c r="AD27" s="81"/>
    </row>
    <row r="28" spans="3:39">
      <c r="Y28" s="64"/>
      <c r="Z28" s="64"/>
      <c r="AA28" s="64"/>
      <c r="AB28" s="64"/>
      <c r="AC28" s="64"/>
      <c r="AD28" s="64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pageMargins left="0.7" right="0.7" top="0.78740157499999996" bottom="0.78740157499999996" header="0.3" footer="0.3"/>
  <pageSetup paperSize="9" orientation="portrait" verticalDpi="0" r:id="rId1"/>
  <ignoredErrors>
    <ignoredError sqref="C10:D10 F10:G10 I10:J10 L10:M10 O10:P10 R10:S10 U10:V10 X10:Y10 AA10:AB10 AD10:AE10 AG10:AH10 AJ10:AK10" formulaRange="1"/>
    <ignoredError sqref="E10 H10 K10 N10" formula="1" formulaRange="1"/>
    <ignoredError sqref="Q10 T10 W10 Z10" formula="1"/>
    <ignoredError sqref="W8:W9 AC9 AC7:AC8 AF6:AF9 AI6 AI7:AI9 AL9" evalError="1"/>
    <ignoredError sqref="AC10 AF10 AI10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33</vt:i4>
      </vt:variant>
    </vt:vector>
  </HeadingPairs>
  <TitlesOfParts>
    <vt:vector size="33" baseType="lpstr">
      <vt:lpstr>Sales Registrations</vt:lpstr>
      <vt:lpstr>Argentina</vt:lpstr>
      <vt:lpstr>Australia</vt:lpstr>
      <vt:lpstr>Austria</vt:lpstr>
      <vt:lpstr>Belgium</vt:lpstr>
      <vt:lpstr>Brazil</vt:lpstr>
      <vt:lpstr>Bulgaria</vt:lpstr>
      <vt:lpstr>China</vt:lpstr>
      <vt:lpstr>Croatia</vt:lpstr>
      <vt:lpstr>Finland</vt:lpstr>
      <vt:lpstr>France</vt:lpstr>
      <vt:lpstr>Germany</vt:lpstr>
      <vt:lpstr>India </vt:lpstr>
      <vt:lpstr>Indonesia</vt:lpstr>
      <vt:lpstr>Israel</vt:lpstr>
      <vt:lpstr>Italy</vt:lpstr>
      <vt:lpstr>Japan </vt:lpstr>
      <vt:lpstr>Kazakhstan</vt:lpstr>
      <vt:lpstr>Korea</vt:lpstr>
      <vt:lpstr>Netherlands</vt:lpstr>
      <vt:lpstr>Norway</vt:lpstr>
      <vt:lpstr>Portugal</vt:lpstr>
      <vt:lpstr>Romania</vt:lpstr>
      <vt:lpstr>Russia</vt:lpstr>
      <vt:lpstr>South Africa</vt:lpstr>
      <vt:lpstr>Spain</vt:lpstr>
      <vt:lpstr>Sweden</vt:lpstr>
      <vt:lpstr>Switzerland</vt:lpstr>
      <vt:lpstr>Thailand</vt:lpstr>
      <vt:lpstr>Turkey</vt:lpstr>
      <vt:lpstr>UK</vt:lpstr>
      <vt:lpstr>Ukraine</vt:lpstr>
      <vt:lpstr>USA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Jocelyne Nziendolo</dc:creator>
  <cp:lastModifiedBy>Jocelyne Nziendolo</cp:lastModifiedBy>
  <cp:lastPrinted>2020-07-01T15:05:17Z</cp:lastPrinted>
  <dcterms:created xsi:type="dcterms:W3CDTF">2020-06-15T08:07:35Z</dcterms:created>
  <dcterms:modified xsi:type="dcterms:W3CDTF">2021-02-02T11:04:55Z</dcterms:modified>
</cp:coreProperties>
</file>